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hflynn1\Downloads\"/>
    </mc:Choice>
  </mc:AlternateContent>
  <xr:revisionPtr revIDLastSave="0" documentId="8_{38A256CF-71B0-4E38-BFB2-63BCF3655D4E}" xr6:coauthVersionLast="47" xr6:coauthVersionMax="47" xr10:uidLastSave="{00000000-0000-0000-0000-000000000000}"/>
  <bookViews>
    <workbookView xWindow="-28920" yWindow="-120" windowWidth="29040" windowHeight="15720" tabRatio="823" firstSheet="2" activeTab="15" xr2:uid="{1526671F-C8AE-4472-B594-67D0B1E9B8FA}"/>
  </bookViews>
  <sheets>
    <sheet name="Sheet1" sheetId="50" state="hidden" r:id="rId1"/>
    <sheet name="Home" sheetId="48" r:id="rId2"/>
    <sheet name="Data Contents" sheetId="3" r:id="rId3"/>
    <sheet name="Economic Contributions" sheetId="11" r:id="rId4"/>
    <sheet name="Compliance &amp; Ethics" sheetId="49" r:id="rId5"/>
    <sheet name="Emissions" sheetId="8" r:id="rId6"/>
    <sheet name="Health" sheetId="5" r:id="rId7"/>
    <sheet name="Safety" sheetId="4" r:id="rId8"/>
    <sheet name="People" sheetId="6" r:id="rId9"/>
    <sheet name="Energy" sheetId="7" r:id="rId10"/>
    <sheet name="Water" sheetId="13" r:id="rId11"/>
    <sheet name="Tailings" sheetId="14" r:id="rId12"/>
    <sheet name="Biodiversity &amp; Environment" sheetId="16" r:id="rId13"/>
    <sheet name="Waste" sheetId="15" r:id="rId14"/>
    <sheet name="Closure" sheetId="19" r:id="rId15"/>
    <sheet name="TCFD" sheetId="47" r:id="rId16"/>
    <sheet name="SASB" sheetId="10" r:id="rId17"/>
  </sheets>
  <definedNames>
    <definedName name="OK" localSheetId="1" hidden="1">{"analyst",#N/A,FALSE,"Result";"Index",#N/A,FALSE,"Index";"asx1",#N/A,FALSE,"ASX1";"asx2",#N/A,FALSE,"ASX2";"Review",#N/A,FALSE,"Review";"Analyst",#N/A,FALSE,"Analyst"}</definedName>
    <definedName name="OK" localSheetId="15"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1" hidden="1">{"analyst",#N/A,FALSE,"Result";"Index",#N/A,FALSE,"Index";"asx1",#N/A,FALSE,"ASX1";"asx2",#N/A,FALSE,"ASX2";"Review",#N/A,FALSE,"Review";"Analyst",#N/A,FALSE,"Analyst"}</definedName>
    <definedName name="OK_1" localSheetId="15"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_xlnm.Print_Area" localSheetId="3">'Economic Contributions'!$A$1:$H$31</definedName>
    <definedName name="_xlnm.Print_Area" localSheetId="9">Energy!$A$1:$E$54</definedName>
    <definedName name="_xlnm.Print_Area" localSheetId="6">Health!$A$1:$H$19</definedName>
    <definedName name="_xlnm.Print_Area" localSheetId="1">Home!$A$1:$A$18</definedName>
    <definedName name="_xlnm.Print_Area" localSheetId="7">Safety!$A$1:$J$32</definedName>
    <definedName name="vsdf" localSheetId="1" hidden="1">{"ResultsSummaryNew",#N/A,FALSE,"ASX QTR";"Index",#N/A,FALSE,"ASX Ind";"ASXNew",#N/A,FALSE,"ASX QTR"}</definedName>
    <definedName name="vsdf" localSheetId="15" hidden="1">{"ResultsSummaryNew",#N/A,FALSE,"ASX QTR";"Index",#N/A,FALSE,"ASX Ind";"ASXNew",#N/A,FALSE,"ASX QTR"}</definedName>
    <definedName name="vsdf" hidden="1">{"ResultsSummaryNew",#N/A,FALSE,"ASX QTR";"Index",#N/A,FALSE,"ASX Ind";"ASXNew",#N/A,FALSE,"ASX QTR"}</definedName>
    <definedName name="vsdf_1" localSheetId="1" hidden="1">{"ResultsSummaryNew",#N/A,FALSE,"ASX QTR";"Index",#N/A,FALSE,"ASX Ind";"ASXNew",#N/A,FALSE,"ASX QTR"}</definedName>
    <definedName name="vsdf_1" localSheetId="15" hidden="1">{"ResultsSummaryNew",#N/A,FALSE,"ASX QTR";"Index",#N/A,FALSE,"ASX Ind";"ASXNew",#N/A,FALSE,"ASX QTR"}</definedName>
    <definedName name="vsdf_1" hidden="1">{"ResultsSummaryNew",#N/A,FALSE,"ASX QTR";"Index",#N/A,FALSE,"ASX Ind";"ASXNew",#N/A,FALSE,"ASX QTR"}</definedName>
    <definedName name="wrn.aaPressRelease." localSheetId="1" hidden="1">{"ResultsSummaryNew",#N/A,FALSE,"ASX QTR";"Index",#N/A,FALSE,"ASX Ind";"ASXNew",#N/A,FALSE,"ASX QTR"}</definedName>
    <definedName name="wrn.aaPressRelease." localSheetId="15" hidden="1">{"ResultsSummaryNew",#N/A,FALSE,"ASX QTR";"Index",#N/A,FALSE,"ASX Ind";"ASXNew",#N/A,FALSE,"ASX QTR"}</definedName>
    <definedName name="wrn.aaPressRelease." hidden="1">{"ResultsSummaryNew",#N/A,FALSE,"ASX QTR";"Index",#N/A,FALSE,"ASX Ind";"ASXNew",#N/A,FALSE,"ASX QTR"}</definedName>
    <definedName name="wrn.aaPressRelease._1" localSheetId="1" hidden="1">{"ResultsSummaryNew",#N/A,FALSE,"ASX QTR";"Index",#N/A,FALSE,"ASX Ind";"ASXNew",#N/A,FALSE,"ASX QTR"}</definedName>
    <definedName name="wrn.aaPressRelease._1" localSheetId="15" hidden="1">{"ResultsSummaryNew",#N/A,FALSE,"ASX QTR";"Index",#N/A,FALSE,"ASX Ind";"ASXNew",#N/A,FALSE,"ASX QTR"}</definedName>
    <definedName name="wrn.aaPressRelease._1" hidden="1">{"ResultsSummaryNew",#N/A,FALSE,"ASX QTR";"Index",#N/A,FALSE,"ASX Ind";"ASXNew",#N/A,FALSE,"ASX QTR"}</definedName>
    <definedName name="wrn.Accounts." localSheetId="1" hidden="1">{"BSPLCF",#N/A,FALSE,"BS, PL, Cash flow";"BSPLCF_CONTD",#N/A,FALSE,"BS,PL,CF_contd"}</definedName>
    <definedName name="wrn.Accounts." localSheetId="15" hidden="1">{"BSPLCF",#N/A,FALSE,"BS, PL, Cash flow";"BSPLCF_CONTD",#N/A,FALSE,"BS,PL,CF_contd"}</definedName>
    <definedName name="wrn.Accounts." hidden="1">{"BSPLCF",#N/A,FALSE,"BS, PL, Cash flow";"BSPLCF_CONTD",#N/A,FALSE,"BS,PL,CF_contd"}</definedName>
    <definedName name="wrn.Accounts._1" localSheetId="1" hidden="1">{"BSPLCF",#N/A,FALSE,"BS, PL, Cash flow";"BSPLCF_CONTD",#N/A,FALSE,"BS,PL,CF_contd"}</definedName>
    <definedName name="wrn.Accounts._1" localSheetId="15" hidden="1">{"BSPLCF",#N/A,FALSE,"BS, PL, Cash flow";"BSPLCF_CONTD",#N/A,FALSE,"BS,PL,CF_contd"}</definedName>
    <definedName name="wrn.Accounts._1" hidden="1">{"BSPLCF",#N/A,FALSE,"BS, PL, Cash flow";"BSPLCF_CONTD",#N/A,FALSE,"BS,PL,CF_contd"}</definedName>
    <definedName name="wrn.PressRelease." localSheetId="1" hidden="1">{"analyst",#N/A,FALSE,"Result";"Index",#N/A,FALSE,"Index";"asx1",#N/A,FALSE,"ASX1";"asx2",#N/A,FALSE,"ASX2";"Review",#N/A,FALSE,"Review";"Analyst",#N/A,FALSE,"Analyst"}</definedName>
    <definedName name="wrn.PressRelease." localSheetId="15"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1" hidden="1">{"analyst",#N/A,FALSE,"Result";"Index",#N/A,FALSE,"Index";"asx1",#N/A,FALSE,"ASX1";"asx2",#N/A,FALSE,"ASX2";"Review",#N/A,FALSE,"Review";"Analyst",#N/A,FALSE,"Analyst"}</definedName>
    <definedName name="wrn.PressRelease._1" localSheetId="15"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8" l="1"/>
  <c r="V35" i="8" l="1"/>
  <c r="D9" i="16"/>
  <c r="Q10" i="16"/>
  <c r="Q9" i="16"/>
  <c r="G15" i="7"/>
  <c r="G15" i="13"/>
  <c r="D12" i="7"/>
  <c r="D13" i="7" s="1"/>
  <c r="D9" i="7"/>
  <c r="D11" i="7" s="1"/>
  <c r="D55" i="8"/>
  <c r="D57" i="8"/>
  <c r="D59" i="8"/>
  <c r="D61" i="8"/>
  <c r="D64" i="8"/>
  <c r="H21" i="7"/>
  <c r="H23" i="7" s="1"/>
  <c r="I21" i="7"/>
  <c r="I23" i="7" s="1"/>
  <c r="D21" i="7"/>
  <c r="D23" i="7" s="1"/>
  <c r="K9" i="16" l="1"/>
  <c r="N10" i="16"/>
  <c r="P10" i="16" s="1"/>
  <c r="D18" i="16" s="1"/>
  <c r="N9" i="16"/>
  <c r="L9" i="16"/>
  <c r="J9" i="16"/>
  <c r="H9" i="16"/>
  <c r="F9" i="16"/>
  <c r="P9" i="16" l="1"/>
  <c r="D17" i="16" s="1"/>
  <c r="G10" i="15"/>
  <c r="J10" i="15"/>
  <c r="AB10" i="15" l="1"/>
  <c r="P9" i="15"/>
  <c r="G9" i="15" l="1"/>
  <c r="AB9" i="15" s="1"/>
  <c r="F21" i="14" l="1"/>
  <c r="J9" i="14"/>
  <c r="J30" i="13" l="1"/>
  <c r="G29" i="13"/>
  <c r="G31" i="13" s="1"/>
  <c r="AB16" i="13"/>
  <c r="AB14" i="13"/>
  <c r="AB12" i="13"/>
  <c r="AB11" i="13"/>
  <c r="D13" i="13" l="1"/>
  <c r="D15" i="13" l="1"/>
  <c r="D29" i="13"/>
  <c r="AB13" i="13"/>
  <c r="AB15" i="13" s="1"/>
  <c r="D39" i="7"/>
  <c r="P9" i="7"/>
  <c r="G21" i="7" s="1"/>
  <c r="G23" i="7" s="1"/>
  <c r="K11" i="49"/>
  <c r="K12" i="49"/>
  <c r="J25" i="8"/>
  <c r="J26" i="8" s="1"/>
  <c r="J24" i="8"/>
  <c r="D26" i="8"/>
  <c r="I30" i="11"/>
  <c r="G26" i="8"/>
  <c r="R46" i="7"/>
  <c r="R47" i="7"/>
  <c r="R48" i="7"/>
  <c r="R49" i="7"/>
  <c r="R45" i="7"/>
  <c r="Y13" i="7"/>
  <c r="V13" i="7"/>
  <c r="S13" i="7"/>
  <c r="M13" i="7"/>
  <c r="J13" i="7"/>
  <c r="D35" i="7"/>
  <c r="D37" i="7"/>
  <c r="G13" i="7"/>
  <c r="W11" i="7"/>
  <c r="Y11" i="7"/>
  <c r="S11" i="7"/>
  <c r="M11" i="7"/>
  <c r="G11" i="7"/>
  <c r="J11" i="7"/>
  <c r="V11" i="7"/>
  <c r="AA11" i="7"/>
  <c r="Z11" i="7"/>
  <c r="D16" i="8"/>
  <c r="D15" i="8"/>
  <c r="AB11" i="8"/>
  <c r="Y11" i="8"/>
  <c r="V11" i="8"/>
  <c r="S11" i="8"/>
  <c r="P11" i="8"/>
  <c r="M11" i="8"/>
  <c r="J11" i="8"/>
  <c r="G11" i="8"/>
  <c r="D11" i="8"/>
  <c r="D48" i="8"/>
  <c r="P38" i="8"/>
  <c r="P35" i="8"/>
  <c r="P33" i="8"/>
  <c r="P32" i="8"/>
  <c r="S38" i="8"/>
  <c r="S35" i="8"/>
  <c r="S33" i="8"/>
  <c r="S32" i="8"/>
  <c r="M38" i="8"/>
  <c r="M37" i="8"/>
  <c r="M35" i="8"/>
  <c r="M34" i="8"/>
  <c r="M33" i="8"/>
  <c r="M32" i="8"/>
  <c r="G38" i="8"/>
  <c r="G37" i="8"/>
  <c r="G35" i="8"/>
  <c r="G34" i="8"/>
  <c r="G33" i="8"/>
  <c r="G32" i="8"/>
  <c r="J38" i="8"/>
  <c r="J35" i="8"/>
  <c r="J33" i="8"/>
  <c r="J32" i="8"/>
  <c r="V38" i="8"/>
  <c r="V34" i="8"/>
  <c r="V33" i="8"/>
  <c r="V32" i="8"/>
  <c r="W36" i="8"/>
  <c r="W37" i="8" s="1"/>
  <c r="W38" i="8" s="1"/>
  <c r="X36" i="8"/>
  <c r="X37" i="8" s="1"/>
  <c r="D38" i="8"/>
  <c r="D37" i="8"/>
  <c r="D35" i="8"/>
  <c r="D34" i="8"/>
  <c r="E29" i="6"/>
  <c r="H35" i="7"/>
  <c r="G35" i="7"/>
  <c r="F35" i="7"/>
  <c r="E35" i="7"/>
  <c r="T11" i="7"/>
  <c r="X11" i="7"/>
  <c r="R11" i="7"/>
  <c r="Q11" i="7"/>
  <c r="O11" i="7"/>
  <c r="N11" i="7"/>
  <c r="L11" i="7"/>
  <c r="U36" i="8"/>
  <c r="AD11" i="8"/>
  <c r="AC11" i="8"/>
  <c r="AA11" i="8"/>
  <c r="Z11" i="8"/>
  <c r="X11" i="8"/>
  <c r="W11" i="8"/>
  <c r="U11" i="8"/>
  <c r="T11" i="8"/>
  <c r="R11" i="8"/>
  <c r="Q11" i="8"/>
  <c r="O11" i="8"/>
  <c r="N11" i="8"/>
  <c r="L11" i="8"/>
  <c r="K11" i="8"/>
  <c r="I11" i="8"/>
  <c r="H11" i="8"/>
  <c r="F11" i="8"/>
  <c r="E11" i="8"/>
  <c r="S29" i="11"/>
  <c r="S28" i="11"/>
  <c r="O30" i="11"/>
  <c r="M30" i="11"/>
  <c r="K30" i="11"/>
  <c r="E30" i="11"/>
  <c r="J29" i="13" l="1"/>
  <c r="J31" i="13" s="1"/>
  <c r="D31" i="13"/>
  <c r="D46" i="8"/>
  <c r="P11" i="7"/>
  <c r="J21" i="7"/>
  <c r="J23" i="7"/>
  <c r="P13" i="7"/>
  <c r="D50" i="8"/>
  <c r="D49" i="8"/>
  <c r="D44" i="8"/>
  <c r="D47" i="8"/>
  <c r="D45" i="8"/>
  <c r="D17" i="8"/>
  <c r="D19" i="8" s="1"/>
  <c r="X38" i="8"/>
  <c r="U37" i="8"/>
  <c r="U38" i="8" s="1"/>
  <c r="S30" i="11"/>
  <c r="Q30" i="11"/>
  <c r="S49" i="7"/>
  <c r="S48" i="7"/>
  <c r="S47" i="7"/>
  <c r="S46" i="7"/>
  <c r="S45" i="7"/>
</calcChain>
</file>

<file path=xl/sharedStrings.xml><?xml version="1.0" encoding="utf-8"?>
<sst xmlns="http://schemas.openxmlformats.org/spreadsheetml/2006/main" count="1569" uniqueCount="653">
  <si>
    <t xml:space="preserve">Outstandings </t>
  </si>
  <si>
    <t xml:space="preserve">Additional information on the cover page </t>
  </si>
  <si>
    <t xml:space="preserve">Contact for sending information / feedback to </t>
  </si>
  <si>
    <t xml:space="preserve">Lara - Scope 3 </t>
  </si>
  <si>
    <t>Lisa - Employee tenure figure / Do we want to put any notes about major layoffs?</t>
  </si>
  <si>
    <t>References in SASB &amp; TCFD to be updated for final report page numbers</t>
  </si>
  <si>
    <t xml:space="preserve">About the data: figures, rounding, and intensity-based denominators </t>
  </si>
  <si>
    <r>
      <rPr>
        <b/>
        <sz val="10"/>
        <color rgb="FF000000"/>
        <rFont val="Calibri"/>
        <family val="2"/>
        <scheme val="major"/>
      </rPr>
      <t>Currencies</t>
    </r>
    <r>
      <rPr>
        <sz val="10"/>
        <color rgb="FF000000"/>
        <rFont val="Calibri"/>
        <family val="2"/>
        <scheme val="major"/>
      </rPr>
      <t>: All financial figures are quoted in Australian dollars unless otherwise noted.</t>
    </r>
  </si>
  <si>
    <r>
      <rPr>
        <b/>
        <sz val="10"/>
        <color rgb="FF000000"/>
        <rFont val="Calibri"/>
        <family val="2"/>
        <scheme val="major"/>
      </rPr>
      <t>Rounding</t>
    </r>
    <r>
      <rPr>
        <sz val="10"/>
        <color rgb="FF000000"/>
        <rFont val="Calibri"/>
        <family val="2"/>
        <scheme val="major"/>
      </rPr>
      <t>: Some figures and percentages may not add up to the total figure or 100 percent due to rounding.</t>
    </r>
  </si>
  <si>
    <t xml:space="preserve">Finding additional financial and non-financial information  </t>
  </si>
  <si>
    <t>Providing feedback</t>
  </si>
  <si>
    <t>ECONOMIC CONTRIBUTIONS</t>
  </si>
  <si>
    <t>Performance metric</t>
  </si>
  <si>
    <t>Spreadsheet tab</t>
  </si>
  <si>
    <t>Economic contributions (AUD$)</t>
  </si>
  <si>
    <t>Economic Contributions</t>
  </si>
  <si>
    <t>Political contributions and Public Policy (AUD$)</t>
  </si>
  <si>
    <t>Gold production (tonnes)</t>
  </si>
  <si>
    <t xml:space="preserve">COMPLIANCE AND ETHICS </t>
  </si>
  <si>
    <t>Environmental compliance</t>
  </si>
  <si>
    <t>Compliance &amp; Ethics</t>
  </si>
  <si>
    <t>Business Compliance</t>
  </si>
  <si>
    <t>IT and Cybersecurity</t>
  </si>
  <si>
    <t>Ethics and Human Rights</t>
  </si>
  <si>
    <t>SAFETY, HEALTH AND PEOPLE</t>
  </si>
  <si>
    <t>Performance metrics</t>
  </si>
  <si>
    <t>Health and Safety Training</t>
  </si>
  <si>
    <t>Health</t>
  </si>
  <si>
    <t>Work-Related Ill Health</t>
  </si>
  <si>
    <t>Emergency Rescue Teams (ERT)</t>
  </si>
  <si>
    <t>Health and Safety Performance</t>
  </si>
  <si>
    <t>Safety</t>
  </si>
  <si>
    <t>Employment Trends</t>
  </si>
  <si>
    <t>People</t>
  </si>
  <si>
    <t>Ramelius Workforce Data</t>
  </si>
  <si>
    <t>Workforce Diversity Totals</t>
  </si>
  <si>
    <t>Workforce Age Groups</t>
  </si>
  <si>
    <t>Employee Hires</t>
  </si>
  <si>
    <t>Employee Hires by Organisational Level</t>
  </si>
  <si>
    <t>Employee Hires by Age Group</t>
  </si>
  <si>
    <t>Employee Hires by Gender</t>
  </si>
  <si>
    <t>Employee Hiring and Turnover Rates</t>
  </si>
  <si>
    <t>Employee Relations</t>
  </si>
  <si>
    <t>Parental Leave</t>
  </si>
  <si>
    <t>Training and Development Employees</t>
  </si>
  <si>
    <t>ENVIRONMENT</t>
  </si>
  <si>
    <t>GHG Emissions (tCO2e)</t>
  </si>
  <si>
    <t>Emissions</t>
  </si>
  <si>
    <t>Emissions Intensity</t>
  </si>
  <si>
    <t>Air Pollution (Tonnes)</t>
  </si>
  <si>
    <t>Air Emissions by Pollutants (Tonnes)</t>
  </si>
  <si>
    <t>Scope 3 GHG Emissions per Category (tCO2e)</t>
  </si>
  <si>
    <t>Energy Used (per Site) (GJ)</t>
  </si>
  <si>
    <t>Energy</t>
  </si>
  <si>
    <t xml:space="preserve">Energy Intensity (per Site) </t>
  </si>
  <si>
    <t>Energy Use (Total)</t>
  </si>
  <si>
    <t>Energy Consumption Sources</t>
  </si>
  <si>
    <t>Water Management by Site</t>
  </si>
  <si>
    <t>Water</t>
  </si>
  <si>
    <t>Water Generation by Site</t>
  </si>
  <si>
    <t>Tailings Generation</t>
  </si>
  <si>
    <t>Tailings</t>
  </si>
  <si>
    <t>Tailings Metrics</t>
  </si>
  <si>
    <t>Land Disturbance by Site</t>
  </si>
  <si>
    <t>Biodiversity &amp; Environment</t>
  </si>
  <si>
    <t>Land Disturbance (Total)</t>
  </si>
  <si>
    <t xml:space="preserve"> Biodiversity &amp; Environment </t>
  </si>
  <si>
    <t>Waste Generation by Site</t>
  </si>
  <si>
    <t>Waste</t>
  </si>
  <si>
    <t>Non-Mineral Waste Recycled/Reused</t>
  </si>
  <si>
    <t>FY25 Closure Planning</t>
  </si>
  <si>
    <t>Closure</t>
  </si>
  <si>
    <t>REPORTING, STANDARDS &amp; CERTIFICATIONS</t>
  </si>
  <si>
    <t>Frameworks</t>
  </si>
  <si>
    <t>Task force on Climate-related Financial Disclosures (TCFD)</t>
  </si>
  <si>
    <t>TCFD</t>
  </si>
  <si>
    <t>Sustainability Accounting Standards Board (SASB)</t>
  </si>
  <si>
    <t>SASB</t>
  </si>
  <si>
    <t>Sustainability Data Book FY2025</t>
  </si>
  <si>
    <t xml:space="preserve">Economic contributions </t>
  </si>
  <si>
    <t>FY2025</t>
  </si>
  <si>
    <t>FY2024</t>
  </si>
  <si>
    <t>FY2023</t>
  </si>
  <si>
    <t>FY2022</t>
  </si>
  <si>
    <t xml:space="preserve">Contributed into Australian Economy (AUD$) million </t>
  </si>
  <si>
    <t>Direct spend with community organisations (AUD$) million</t>
  </si>
  <si>
    <t xml:space="preserve">Profit before income tax expense </t>
  </si>
  <si>
    <t xml:space="preserve">Permanent differences </t>
  </si>
  <si>
    <t>Temporary differences</t>
  </si>
  <si>
    <t>- Accounting and tax depreciation differences'</t>
  </si>
  <si>
    <t>- Mine development'</t>
  </si>
  <si>
    <t>-Exploration and evaluation expenditure'</t>
  </si>
  <si>
    <t>-Provisions'</t>
  </si>
  <si>
    <t>-Other'</t>
  </si>
  <si>
    <t>Taxable income before utilisation of carried forward tax losses</t>
  </si>
  <si>
    <t xml:space="preserve">Australian income tax payable </t>
  </si>
  <si>
    <t xml:space="preserve">Corporate income tax paid during the year ended </t>
  </si>
  <si>
    <t>Utilisation of carried forward losses</t>
  </si>
  <si>
    <t>Net income tax payable/(receivable)</t>
  </si>
  <si>
    <t>Supplier Payments</t>
  </si>
  <si>
    <t>Wages</t>
  </si>
  <si>
    <t>Dividends</t>
  </si>
  <si>
    <t>Interest</t>
  </si>
  <si>
    <t>Taxes</t>
  </si>
  <si>
    <t>Royalties</t>
  </si>
  <si>
    <t>State and Shire Rent</t>
  </si>
  <si>
    <t>Total Contribution</t>
  </si>
  <si>
    <t>Unit</t>
  </si>
  <si>
    <t>FY25</t>
  </si>
  <si>
    <t>FY24</t>
  </si>
  <si>
    <t>Local suppliers, shire rates &amp; local employees</t>
  </si>
  <si>
    <t>A$ million</t>
  </si>
  <si>
    <t>National economy (excluding local suppliers &amp; employees)</t>
  </si>
  <si>
    <t>Total</t>
  </si>
  <si>
    <t>Gold Production</t>
  </si>
  <si>
    <t xml:space="preserve">Production of metal ores </t>
  </si>
  <si>
    <t xml:space="preserve">Metric tons (t) saleable </t>
  </si>
  <si>
    <t>Edna May</t>
  </si>
  <si>
    <t xml:space="preserve">Gold Produced </t>
  </si>
  <si>
    <t>oz</t>
  </si>
  <si>
    <t>Mt Magent</t>
  </si>
  <si>
    <t xml:space="preserve">Total </t>
  </si>
  <si>
    <t>Environmental Compliance (FY25)</t>
  </si>
  <si>
    <t xml:space="preserve">Edna May </t>
  </si>
  <si>
    <t>Mt Magnet</t>
  </si>
  <si>
    <t>Marda</t>
  </si>
  <si>
    <t>Penny</t>
  </si>
  <si>
    <t>Tampia</t>
  </si>
  <si>
    <t>Symes</t>
  </si>
  <si>
    <t>Rebecca-Roe</t>
  </si>
  <si>
    <t xml:space="preserve">Material environmental incidents </t>
  </si>
  <si>
    <t xml:space="preserve">Quantity </t>
  </si>
  <si>
    <t xml:space="preserve">Monetary value of significant fines </t>
  </si>
  <si>
    <t>$</t>
  </si>
  <si>
    <t>Non-monetary sanctions</t>
  </si>
  <si>
    <t xml:space="preserve">Non-material environmental incidents reported externally </t>
  </si>
  <si>
    <t xml:space="preserve">Non-material environmental incidents reported internally </t>
  </si>
  <si>
    <t>Note: Material environmental incidents are instances of non-compliance with laws and regulations resulting in fines or non-monetary sanctions. No such incidents occurred. None</t>
  </si>
  <si>
    <t>of the non-material environmental incidents reported externally are considered material in nature but have been reported (regardless of size/severity) as it is a requirement of</t>
  </si>
  <si>
    <t>DEMIRS and DWER.</t>
  </si>
  <si>
    <t xml:space="preserve">Business Compliance </t>
  </si>
  <si>
    <t>FY23</t>
  </si>
  <si>
    <t>Total number of confirmed incidents of corruption, anticompetitive behaviour or other unethical business practices</t>
  </si>
  <si>
    <t>Monetary value of significant fines</t>
  </si>
  <si>
    <t xml:space="preserve">IT Security/Cybersecurity </t>
  </si>
  <si>
    <t>Total number of information security breaches</t>
  </si>
  <si>
    <t>Total number of clients, customers and employees affected by the breaches</t>
  </si>
  <si>
    <t>% of employees who completed cybersecurity training</t>
  </si>
  <si>
    <t xml:space="preserve">Ethics and Human Rights </t>
  </si>
  <si>
    <t xml:space="preserve">Total number of incidents of discrimination </t>
  </si>
  <si>
    <t>Total number of confirmed incidents of human rights violations, including rights of First Nations peoples</t>
  </si>
  <si>
    <t xml:space="preserve">EMISSIONS PERFORMANCE </t>
  </si>
  <si>
    <t>Cue</t>
  </si>
  <si>
    <t>Perth Office</t>
  </si>
  <si>
    <t>Exploration</t>
  </si>
  <si>
    <t>GHG Emissions</t>
  </si>
  <si>
    <t>Total Scope 1 Emissions</t>
  </si>
  <si>
    <r>
      <t>Metric tonnes (tCO</t>
    </r>
    <r>
      <rPr>
        <sz val="7"/>
        <color theme="8"/>
        <rFont val="Aptos Narrow"/>
        <family val="2"/>
      </rPr>
      <t>₂</t>
    </r>
    <r>
      <rPr>
        <sz val="6.35"/>
        <color theme="8"/>
        <rFont val="Calibri"/>
        <family val="2"/>
      </rPr>
      <t>-e)</t>
    </r>
  </si>
  <si>
    <t>Total Scope 2 Emissions</t>
  </si>
  <si>
    <t xml:space="preserve">Ramelius Total </t>
  </si>
  <si>
    <t>FY22</t>
  </si>
  <si>
    <t>FY21</t>
  </si>
  <si>
    <t>Total Scope 1 &amp; 2 Emissions</t>
  </si>
  <si>
    <t xml:space="preserve">Emissions intensity per ounce gold produced (group total) </t>
  </si>
  <si>
    <r>
      <t>tCO</t>
    </r>
    <r>
      <rPr>
        <sz val="7"/>
        <color theme="8"/>
        <rFont val="Aptos Narrow"/>
        <family val="2"/>
      </rPr>
      <t>₂</t>
    </r>
    <r>
      <rPr>
        <sz val="6.35"/>
        <color theme="8"/>
        <rFont val="Calibri"/>
        <family val="2"/>
      </rPr>
      <t>-e/oz</t>
    </r>
  </si>
  <si>
    <t>Note: Totals before FY24 included data from Vivien Gold Mine which is no longer held by Ramelius. Greenhouse gas emissions included in Scope 1 &amp; 2 calculations include: CO2, CH4, N2O, SF6. Calculation methodologies used as per NGER and NPI requirements, and have been verified by third-party Greenbase.</t>
  </si>
  <si>
    <t>Emissions Intensity (per producing sites)</t>
  </si>
  <si>
    <t>Total Scope 1 &amp; 2 emissions</t>
  </si>
  <si>
    <t xml:space="preserve">Total gold produced </t>
  </si>
  <si>
    <t xml:space="preserve">Emissions intensity per ounce gold produced </t>
  </si>
  <si>
    <t>tCO₂-e/oz</t>
  </si>
  <si>
    <t>AIR POLLUTION</t>
  </si>
  <si>
    <t xml:space="preserve">Air Pollution </t>
  </si>
  <si>
    <t xml:space="preserve">Carbon Monoxide (CO) </t>
  </si>
  <si>
    <t>Tonnes (t)</t>
  </si>
  <si>
    <r>
      <t>Oxides of Nitrogen (Nox) (excluding N</t>
    </r>
    <r>
      <rPr>
        <sz val="7"/>
        <color theme="8"/>
        <rFont val="Aptos Narrow"/>
        <family val="2"/>
      </rPr>
      <t>₂O)</t>
    </r>
  </si>
  <si>
    <t>Sulphur Dioxide (Sox)</t>
  </si>
  <si>
    <t xml:space="preserve">Particulate matter (PM10) </t>
  </si>
  <si>
    <t>Mercury (Hg)</t>
  </si>
  <si>
    <t>Lead (Pb)</t>
  </si>
  <si>
    <t>Volatile organic compounds (VOCs)</t>
  </si>
  <si>
    <t>Note: Data has been gathered and reported via the National Pollutant Inventory (NPI). None of the above pollutants were emitted at any exploration sites including Rebecca-Roe.</t>
  </si>
  <si>
    <t>Air Emissions of the Following Pollutants</t>
  </si>
  <si>
    <t>Total Scope 1 Emissions - Diesel</t>
  </si>
  <si>
    <t>% Diesel of Scope 1</t>
  </si>
  <si>
    <t>%</t>
  </si>
  <si>
    <t>Scope 1 Diesel - Electricity</t>
  </si>
  <si>
    <t>% Electricity of total diesel</t>
  </si>
  <si>
    <t>Scope 1 Diesel - Non Transport</t>
  </si>
  <si>
    <t>% non transport of total diesel</t>
  </si>
  <si>
    <t>Scope 1 Diesel - Transport</t>
  </si>
  <si>
    <t>% transport of total diesel</t>
  </si>
  <si>
    <t>Total Scope 1 Emissions - Natural Gas</t>
  </si>
  <si>
    <t>% Natural gas of Scope 1</t>
  </si>
  <si>
    <t>Scope 3 greenhouse gas emissions per category (tCO2-e)</t>
  </si>
  <si>
    <t>Evaluation Status</t>
  </si>
  <si>
    <t>Emissions calculation methodology</t>
  </si>
  <si>
    <t>Further detail</t>
  </si>
  <si>
    <t>1. Purchased goods and services</t>
  </si>
  <si>
    <t>Relevant, calculated</t>
  </si>
  <si>
    <t>2. Capital goods</t>
  </si>
  <si>
    <t>3. Fuel and energy related activities</t>
  </si>
  <si>
    <t>4. Upstream transportation and distribution</t>
  </si>
  <si>
    <t>Not relevant, explanation provided</t>
  </si>
  <si>
    <t>N/A</t>
  </si>
  <si>
    <t>5. Waste generated in operations</t>
  </si>
  <si>
    <t>6. Business travel</t>
  </si>
  <si>
    <t>7. Employee commuting</t>
  </si>
  <si>
    <t>8. Upstream leased assets</t>
  </si>
  <si>
    <t>9. Downstream transportation and distribution</t>
  </si>
  <si>
    <t>10. Processing of sold products</t>
  </si>
  <si>
    <t>11. Use of sold products</t>
  </si>
  <si>
    <t>12. End of life treatment of sold products</t>
  </si>
  <si>
    <t>13. Downstream leased assets</t>
  </si>
  <si>
    <t>14. Franchises</t>
  </si>
  <si>
    <t>15. Investments</t>
  </si>
  <si>
    <t> </t>
  </si>
  <si>
    <t>HEALTH AND SAFETY TRAINING</t>
  </si>
  <si>
    <t xml:space="preserve">Penny </t>
  </si>
  <si>
    <t>Tampia/Synes</t>
  </si>
  <si>
    <r>
      <t xml:space="preserve">Average hours of health, safety, and emergency response training for </t>
    </r>
    <r>
      <rPr>
        <b/>
        <sz val="7"/>
        <color theme="8"/>
        <rFont val="Calibri"/>
        <family val="2"/>
        <scheme val="minor"/>
      </rPr>
      <t>(a) full-time employees</t>
    </r>
  </si>
  <si>
    <t>Average hours per employee</t>
  </si>
  <si>
    <r>
      <t xml:space="preserve">Average hours of health, safety, and emergency response training for </t>
    </r>
    <r>
      <rPr>
        <b/>
        <sz val="7"/>
        <color theme="8"/>
        <rFont val="Calibri"/>
        <family val="2"/>
        <scheme val="minor"/>
      </rPr>
      <t>(b) contractors</t>
    </r>
  </si>
  <si>
    <t xml:space="preserve">Work-Related Ill Health </t>
  </si>
  <si>
    <t xml:space="preserve">Fatalities as result of work related ill health </t>
  </si>
  <si>
    <t>Number</t>
  </si>
  <si>
    <t xml:space="preserve">Cases of recordable work-related ill health </t>
  </si>
  <si>
    <t>Total FY25</t>
  </si>
  <si>
    <t>Total FY24</t>
  </si>
  <si>
    <t>Total FY23</t>
  </si>
  <si>
    <t>Number of ERT members</t>
  </si>
  <si>
    <r>
      <rPr>
        <b/>
        <sz val="9"/>
        <color theme="4"/>
        <rFont val="Calibri (Body)"/>
      </rPr>
      <t>Key Health definitions:</t>
    </r>
    <r>
      <rPr>
        <sz val="7"/>
        <color theme="8"/>
        <rFont val="Calibri"/>
        <family val="2"/>
        <scheme val="minor"/>
      </rPr>
      <t xml:space="preserve">
</t>
    </r>
    <r>
      <rPr>
        <b/>
        <sz val="7"/>
        <color theme="8"/>
        <rFont val="Calibri"/>
        <family val="2"/>
        <scheme val="minor"/>
      </rPr>
      <t>Fatal Illness (FI)</t>
    </r>
    <r>
      <rPr>
        <sz val="7"/>
        <color theme="8"/>
        <rFont val="Calibri"/>
        <family val="2"/>
        <scheme val="minor"/>
      </rPr>
      <t>: The death of an employee or contractor resulting from a work-related illness, regardless of the time intervening between the time of incident causing the illness or exposure and the time of death and:
•	Directly or indirectly involves an employee of the Company while performing work-related duties; or
•	Involves Company operations, or involves Company property, plant or while performing work-related duties; or                           
•	Is related to activities of contractors performing work for the Company; or
•	Occurs in a place that is considered to be controlled or under the significant influence of the Company.
	NB: the death of a third party (e.g. public) as a result of any of the above must be immediately reported but the fatality will not be included in site performance statistics.</t>
    </r>
  </si>
  <si>
    <t>Tampia/Symes</t>
  </si>
  <si>
    <t>Health &amp; Safety Performance</t>
  </si>
  <si>
    <t xml:space="preserve">Unit </t>
  </si>
  <si>
    <r>
      <t xml:space="preserve">Near miss frequency rate </t>
    </r>
    <r>
      <rPr>
        <b/>
        <sz val="7"/>
        <color theme="8"/>
        <rFont val="Calibri"/>
        <family val="2"/>
        <scheme val="minor"/>
      </rPr>
      <t>(NMFR)</t>
    </r>
  </si>
  <si>
    <t>Rate</t>
  </si>
  <si>
    <t>Number of fatalities</t>
  </si>
  <si>
    <r>
      <t xml:space="preserve">Lost time injury </t>
    </r>
    <r>
      <rPr>
        <b/>
        <sz val="7"/>
        <color theme="8"/>
        <rFont val="Calibri"/>
        <family val="2"/>
        <scheme val="minor"/>
      </rPr>
      <t>(LTI)</t>
    </r>
  </si>
  <si>
    <r>
      <t xml:space="preserve">Medical treatment injury </t>
    </r>
    <r>
      <rPr>
        <b/>
        <sz val="7"/>
        <color theme="8"/>
        <rFont val="Calibri"/>
        <family val="2"/>
        <scheme val="minor"/>
      </rPr>
      <t>(MTI)</t>
    </r>
  </si>
  <si>
    <t>Restricted work</t>
  </si>
  <si>
    <t>Fatality rate</t>
  </si>
  <si>
    <r>
      <t xml:space="preserve">Lost time injury frequency rates </t>
    </r>
    <r>
      <rPr>
        <b/>
        <sz val="7"/>
        <color theme="8"/>
        <rFont val="Calibri"/>
        <family val="2"/>
        <scheme val="minor"/>
      </rPr>
      <t>(LTIFR)</t>
    </r>
  </si>
  <si>
    <r>
      <t xml:space="preserve">Total recordable injury frequency rate </t>
    </r>
    <r>
      <rPr>
        <b/>
        <sz val="7"/>
        <color theme="8"/>
        <rFont val="Calibri"/>
        <family val="2"/>
        <scheme val="minor"/>
      </rPr>
      <t>(TRIFR)</t>
    </r>
  </si>
  <si>
    <t>Total number of hours worked</t>
  </si>
  <si>
    <t>Notes: All health and safety data includes both employees and contractors unless otherwise stated. Totals before FY24 included data from Vivien Gold Mine which is no longer held by Ramelius .</t>
  </si>
  <si>
    <r>
      <rPr>
        <b/>
        <sz val="9"/>
        <color theme="7" tint="9.9978637043366805E-2"/>
        <rFont val="Calibri (Body)"/>
      </rPr>
      <t>Key Safety definitions:</t>
    </r>
    <r>
      <rPr>
        <sz val="7"/>
        <color theme="8"/>
        <rFont val="Calibri"/>
        <family val="2"/>
        <scheme val="minor"/>
      </rPr>
      <t xml:space="preserve">
</t>
    </r>
    <r>
      <rPr>
        <b/>
        <sz val="7"/>
        <color theme="8"/>
        <rFont val="Calibri"/>
        <family val="2"/>
        <scheme val="minor"/>
      </rPr>
      <t xml:space="preserve">Total recordable injuries - </t>
    </r>
    <r>
      <rPr>
        <sz val="7"/>
        <color theme="8"/>
        <rFont val="Calibri"/>
        <family val="2"/>
        <scheme val="minor"/>
      </rPr>
      <t xml:space="preserve">Work-related incidents that include Medical Treatment Injuries, Restricted Work Injuries, Lost Time Injuries and Fatalities
</t>
    </r>
    <r>
      <rPr>
        <b/>
        <sz val="7"/>
        <color theme="8"/>
        <rFont val="Calibri"/>
        <family val="2"/>
        <scheme val="minor"/>
      </rPr>
      <t>First Aid Injury -</t>
    </r>
    <r>
      <rPr>
        <sz val="7"/>
        <color theme="8"/>
        <rFont val="Calibri"/>
        <family val="2"/>
        <scheme val="minor"/>
      </rPr>
      <t xml:space="preserve"> A first aid injury is a work-related injury which requires one-time treatment and subsequent observation of minor scratches, cuts, burns, splinters or similar minor injuries that do not normally require medical care. Such treatment and observation is considered a First Aid case even if provided by a physician or registered professional personnel. Examples include diagnostic procedures such as X-rays and blood tests, application of antiseptics, treatment of first degree burns, use of steri-strips for wound closure, tetanus vaccinations or boosters administered as a precautionary measure.
</t>
    </r>
    <r>
      <rPr>
        <b/>
        <sz val="7"/>
        <color theme="8"/>
        <rFont val="Calibri"/>
        <family val="2"/>
        <scheme val="minor"/>
      </rPr>
      <t>Medical treatment injury -</t>
    </r>
    <r>
      <rPr>
        <sz val="7"/>
        <color theme="8"/>
        <rFont val="Calibri"/>
        <family val="2"/>
        <scheme val="minor"/>
      </rPr>
      <t xml:space="preserve"> A medical treatment injury is a work-related injury which requires the treatment beyond first-aid by, or under the specific order of, a medical practitioner, but which does not result in lost days or restricted work (i.e. the injured person receives medical treatment and is able to return to his or her normal duties).
</t>
    </r>
    <r>
      <rPr>
        <b/>
        <sz val="7"/>
        <color theme="8"/>
        <rFont val="Calibri"/>
        <family val="2"/>
        <scheme val="minor"/>
      </rPr>
      <t>Restricted Work Injury -</t>
    </r>
    <r>
      <rPr>
        <sz val="7"/>
        <color theme="8"/>
        <rFont val="Calibri"/>
        <family val="2"/>
        <scheme val="minor"/>
      </rPr>
      <t xml:space="preserve"> A restricted work injury is a work-related injury where a person can return to work, but only undertake restricted work activities (i.e. the injured person is unable to perform any part or all of their regular duties following the injury, and performs alternative duties). This decision is based upon receiving written advice from a registered medical practitioner that the person is unable to perform either one or more of their routine work functions or work the full day following their injury.
If the injured person immediately assumes restricted work duties following the injury, without any time off from work, then the case should be recorded as a Restricted Work Injury and the time spent on restricted duties should be recorded as Restricted Work Days. The decision to allow an injured person to return to work on restricted duties can only be made by a medical professional.
</t>
    </r>
    <r>
      <rPr>
        <b/>
        <sz val="7"/>
        <color theme="8"/>
        <rFont val="Calibri"/>
        <family val="2"/>
        <scheme val="minor"/>
      </rPr>
      <t>Lost Time Injuries -</t>
    </r>
    <r>
      <rPr>
        <sz val="7"/>
        <color theme="8"/>
        <rFont val="Calibri"/>
        <family val="2"/>
        <scheme val="minor"/>
      </rPr>
      <t xml:space="preserve"> A lost time injury is a work-related injury which results in an employee being away from work on any day(s) after the day on which the injury occurred.
Days lost are the calendar days between the time of the injury and the worker being cleared to return to full normal duties, and includes leave, holidays, weekends and other rostered days off.
</t>
    </r>
    <r>
      <rPr>
        <b/>
        <sz val="7"/>
        <color theme="8"/>
        <rFont val="Calibri"/>
        <family val="2"/>
        <scheme val="minor"/>
      </rPr>
      <t>Exposure Hours -</t>
    </r>
    <r>
      <rPr>
        <sz val="7"/>
        <color theme="8"/>
        <rFont val="Calibri"/>
        <family val="2"/>
        <scheme val="minor"/>
      </rPr>
      <t xml:space="preserve"> Represents the actual hours worked by all staff and contractors.
</t>
    </r>
    <r>
      <rPr>
        <b/>
        <sz val="7"/>
        <color theme="8"/>
        <rFont val="Calibri"/>
        <family val="2"/>
        <scheme val="minor"/>
      </rPr>
      <t>Fatal Injury (FI)</t>
    </r>
    <r>
      <rPr>
        <sz val="7"/>
        <color theme="8"/>
        <rFont val="Calibri"/>
        <family val="2"/>
        <scheme val="minor"/>
      </rPr>
      <t>: The death of an employee or contractor resulting from a work-related injury, regardless of the time intervening between the time of incident causing the injury or exposure and the time of death and:
•	Directly or indirectly involves an employee of the Company while performing work-related duties; or
•	Involves Company operations, or involves Company property, plant or while performing work-related duties; or                           
•	Is related to activities of contractors performing work for the Company; or
•	Occurs in a place that is considered to be controlled or under the significant influence of the Company.
	NB: the death of a third party (e.g. public) as a result of any of the above must be immediately reported but the fatality will not be included in site performance statistics.</t>
    </r>
  </si>
  <si>
    <t>NB 2: Our policies and standards are aligned with the principles of the International Standard for Occupational Health and Safety AS/NZS ISO 45001:2018.</t>
  </si>
  <si>
    <t>PEOPLE</t>
  </si>
  <si>
    <t>Corporate</t>
  </si>
  <si>
    <t>Total number of employees and contractors</t>
  </si>
  <si>
    <t>Total number of employees</t>
  </si>
  <si>
    <t>Total number of contractors</t>
  </si>
  <si>
    <t xml:space="preserve">% of contractors </t>
  </si>
  <si>
    <t>% of female employees</t>
  </si>
  <si>
    <t xml:space="preserve">Total number of nationals </t>
  </si>
  <si>
    <t>Total number of expats</t>
  </si>
  <si>
    <t>Note: Board members are not included in employee totals for FY24 reporting. For FY23 reporting Board members were included in employee totals.</t>
  </si>
  <si>
    <t>WORKFORCE DATA BY CATEGORY AND DIVERSITY  OF TOTAL EMPLOYEES</t>
  </si>
  <si>
    <t>Gender</t>
  </si>
  <si>
    <t>Ramelius Workforce</t>
  </si>
  <si>
    <t>Female</t>
  </si>
  <si>
    <t>Male</t>
  </si>
  <si>
    <t xml:space="preserve">Board </t>
  </si>
  <si>
    <t xml:space="preserve">Number </t>
  </si>
  <si>
    <t>Percentage (%)</t>
  </si>
  <si>
    <t>Executive/GM</t>
  </si>
  <si>
    <t xml:space="preserve">Executive/GM </t>
  </si>
  <si>
    <t>Senior Managers/Managers</t>
  </si>
  <si>
    <t xml:space="preserve">Senior Managers/Managers </t>
  </si>
  <si>
    <t xml:space="preserve">Senior/Supts - Number </t>
  </si>
  <si>
    <t>Senior/Supts</t>
  </si>
  <si>
    <t xml:space="preserve">Professional </t>
  </si>
  <si>
    <t xml:space="preserve">Trade </t>
  </si>
  <si>
    <t>Operator/Technicians</t>
  </si>
  <si>
    <t xml:space="preserve">Administration </t>
  </si>
  <si>
    <t>Graduate/Apprentice</t>
  </si>
  <si>
    <t xml:space="preserve">Graduate/Apprentice </t>
  </si>
  <si>
    <t>Other</t>
  </si>
  <si>
    <t>WORKFORCE DIVERSITY TOTALS</t>
  </si>
  <si>
    <t>Totals</t>
  </si>
  <si>
    <t>WORKFORCE AGE GROUPS</t>
  </si>
  <si>
    <t>&lt;36</t>
  </si>
  <si>
    <t>36-55</t>
  </si>
  <si>
    <t>&gt;55</t>
  </si>
  <si>
    <t>Number of employees</t>
  </si>
  <si>
    <t>EMPLOYEE HIRES</t>
  </si>
  <si>
    <t>Total Employee Hires</t>
  </si>
  <si>
    <t xml:space="preserve">Open positions filled by internal candidates (internal hires) </t>
  </si>
  <si>
    <t xml:space="preserve">EMPLOYEE HIRES BY ORGANISATIONAL LEVEL </t>
  </si>
  <si>
    <t>Professional</t>
  </si>
  <si>
    <t>EMPLOYEE HIRES BY AGE GROUP</t>
  </si>
  <si>
    <t>EMPLOYEE HIRES BY GENDER</t>
  </si>
  <si>
    <t>EMPLOYEE HIRING AND TURNOVER RATES</t>
  </si>
  <si>
    <t xml:space="preserve">Employee turnover (12 month rolling average) </t>
  </si>
  <si>
    <t xml:space="preserve">Units </t>
  </si>
  <si>
    <t xml:space="preserve">Voluntary employee turnover rate </t>
  </si>
  <si>
    <t>Total employee turnover rate (%)</t>
  </si>
  <si>
    <t>EMPLOYEE RELATIONS</t>
  </si>
  <si>
    <t xml:space="preserve">Employee Relations </t>
  </si>
  <si>
    <t>Percentage of active workforce covered under collective bargaining agreements</t>
  </si>
  <si>
    <t>Number and duration of strikes and lockouts</t>
  </si>
  <si>
    <t xml:space="preserve">Days </t>
  </si>
  <si>
    <t>Total number and percentage of indigenous employees</t>
  </si>
  <si>
    <t>Total number and percentage of local employees</t>
  </si>
  <si>
    <t>Note: Strikes/lockouts refer to work stoppages involving 1,000 or more workers lasting one full shift or longer. Employees belonging to both indigenous and local demographic groups are included in each category.</t>
  </si>
  <si>
    <t>PARENTAL LEAVE</t>
  </si>
  <si>
    <t>Employees entitled to parental leave</t>
  </si>
  <si>
    <t>Employees that took parental leave</t>
  </si>
  <si>
    <t>Employees that returned to work after parental leave ended</t>
  </si>
  <si>
    <t>Rate of employees who returned to work once parental leave period ended</t>
  </si>
  <si>
    <t>Employees that returned to work after parental leave ended that were still employed 12 months after their return to work</t>
  </si>
  <si>
    <t>Retention rate of employees who remained at work 12 months after their return to work</t>
  </si>
  <si>
    <t>TRAINING AND DEVELOPMENT EMPLOYEES</t>
  </si>
  <si>
    <t>Average hours of training per employee</t>
  </si>
  <si>
    <t>Employee Engagement</t>
  </si>
  <si>
    <t>Units</t>
  </si>
  <si>
    <t xml:space="preserve">Total employees invited to engagement survey </t>
  </si>
  <si>
    <t xml:space="preserve"> </t>
  </si>
  <si>
    <t xml:space="preserve">Percentage of employees who responded to engagement survey </t>
  </si>
  <si>
    <t>Percentage of employees who received a performance appraisal</t>
  </si>
  <si>
    <t>Notes: Employee engagement surveys were not conducted in FY24.</t>
  </si>
  <si>
    <t xml:space="preserve">Employee Tenure </t>
  </si>
  <si>
    <t>Average years employed by the Company for female employees</t>
  </si>
  <si>
    <t>Avg years</t>
  </si>
  <si>
    <t>3</t>
  </si>
  <si>
    <t>Average years employed by the Company for male employees</t>
  </si>
  <si>
    <t>4</t>
  </si>
  <si>
    <t>ENERGY</t>
  </si>
  <si>
    <t>ENERGY USE (PER SITE)</t>
  </si>
  <si>
    <t xml:space="preserve">Tampia </t>
  </si>
  <si>
    <t>Energy Use (Per Site)</t>
  </si>
  <si>
    <t xml:space="preserve">Total Energy Consumed </t>
  </si>
  <si>
    <t>Gigajoules (GJ)</t>
  </si>
  <si>
    <t>Energy Produced</t>
  </si>
  <si>
    <t xml:space="preserve">Net Energy Consumed </t>
  </si>
  <si>
    <t xml:space="preserve">Energy Purchased from grid power </t>
  </si>
  <si>
    <t xml:space="preserve">% of total energy consumption derived from grid power </t>
  </si>
  <si>
    <t>Total energy produced from renewable energy sources</t>
  </si>
  <si>
    <t>% of total energy production from renewable energy sources</t>
  </si>
  <si>
    <t>Notes: Where applicable, total energy consumed is derived from a combination of grid electricity, self-generated energy, fuel combustion (transport and non-transport),
and other industrial processes.
Corrections: The FY23 Sustainability Report incorrectly presented the percentage of grid power at Edna May as 34% and - at Tampia. These have now been corrected.</t>
  </si>
  <si>
    <t>Energy Intensity (per producing sites)</t>
  </si>
  <si>
    <t xml:space="preserve">Total Gold Produced </t>
  </si>
  <si>
    <t>Ounces (oz)</t>
  </si>
  <si>
    <t>Energy intensity per ounce gold produced</t>
  </si>
  <si>
    <t>GJ/oz</t>
  </si>
  <si>
    <t>Note: Energy consumed reflects mine hub and associated satellite sites:</t>
  </si>
  <si>
    <t>Edna May includes Marda, Tampia and Symes.</t>
  </si>
  <si>
    <t>Mt Magnet includes Cue, Penny and Vivien.</t>
  </si>
  <si>
    <t>Total does not include corportate or exploration Energy use</t>
  </si>
  <si>
    <t>ENERGY USE (TOTAL)</t>
  </si>
  <si>
    <t>Energy Produced (Diesel and Natural gas)</t>
  </si>
  <si>
    <t>Energy Produced  (Renewable)</t>
  </si>
  <si>
    <t>% of total energy consumption derived from renewable energy sources</t>
  </si>
  <si>
    <t>Energy intensity of gold produced (group total)</t>
  </si>
  <si>
    <t>Note: Where applicable, total energy consumed is derived from a combination of grid electricity, self-generated energy, fuel combustion (transport and non-transport), and other industrial processes. Totals before FY24 included data from Vivien Gold Mine which is no longer held by Ramelius.</t>
  </si>
  <si>
    <t>LPG</t>
  </si>
  <si>
    <t>Diesel</t>
  </si>
  <si>
    <t xml:space="preserve">Explosives </t>
  </si>
  <si>
    <t xml:space="preserve">Natural Gas </t>
  </si>
  <si>
    <t xml:space="preserve">Petrol (ULP) </t>
  </si>
  <si>
    <t xml:space="preserve">Disclosures </t>
  </si>
  <si>
    <t>All energy consumption (both self-generated and electricity sourced from grid) has been used to calculate the energy efficiency ratios above.</t>
  </si>
  <si>
    <t>WATER MANAGEMENT</t>
  </si>
  <si>
    <t>Total purchased water (municipal water suppliers or other utilities)</t>
  </si>
  <si>
    <t>Cubic metres (m3)</t>
  </si>
  <si>
    <t>Total groundwater abstracted</t>
  </si>
  <si>
    <t xml:space="preserve">Total water consumed </t>
  </si>
  <si>
    <t>Total water consumed that was recycled/reused (Decant return from TSFs)</t>
  </si>
  <si>
    <t>NA</t>
  </si>
  <si>
    <t>Percentage of water consumed that was recycled/reused</t>
  </si>
  <si>
    <t>Total water discharged</t>
  </si>
  <si>
    <t>Total water withdrawn in regions with High or Extremely High Baseline Water Stress</t>
  </si>
  <si>
    <t>Number of incidents of non-compliance associated with water quality permits, standards, and regulations.</t>
  </si>
  <si>
    <t>2**</t>
  </si>
  <si>
    <t>1*</t>
  </si>
  <si>
    <t>Note: Totals before FY24 included data from Vivien Gold Mine which is no longer held by Ramelius.
Data for water consumed that was recycled/reused at Mt Magnet in FY23 was incorrectly calculated in the FY23 Sustainability Report. This has now been corrected.
Water discharge is reported in accordance with EP licence which includes water discharged into pit voids that will be used downstream.
NR = Not recorded 
N/A = Not applicable
*Admin non-compliance, did not collect all required data
**Saline water discharge to environment, WWTP water quality</t>
  </si>
  <si>
    <t>WATER INTENSITY</t>
  </si>
  <si>
    <t xml:space="preserve">Total water consumed (mining &amp; processing) </t>
  </si>
  <si>
    <t xml:space="preserve">Ounces gold produced </t>
  </si>
  <si>
    <t>Oz</t>
  </si>
  <si>
    <t xml:space="preserve">Water intensity of gold produced (water consumed per ounce gold produced) </t>
  </si>
  <si>
    <t>Cubic metres (m3)/oz</t>
  </si>
  <si>
    <t>Notes: Water consumed reflects mine hub and associated satellite sites:
Edna May includes Marda, Tampia and Symes.
Mt Magnet includes Penny.</t>
  </si>
  <si>
    <t>TAILINGS STORAGE FACILITIES</t>
  </si>
  <si>
    <t xml:space="preserve">Tailings Generation </t>
  </si>
  <si>
    <t xml:space="preserve">Total weight of tailings produced </t>
  </si>
  <si>
    <t>Metric tonnes (t)</t>
  </si>
  <si>
    <t>Notes: Tailings volume includes both solids and liquids/slurry. Previous sustainability reports only included the volume of tailings solids.</t>
  </si>
  <si>
    <t>TAILINGS DISCLOSURE PER FACILITY</t>
  </si>
  <si>
    <t>EMO TSF</t>
  </si>
  <si>
    <t>MMG TSF 1</t>
  </si>
  <si>
    <t>MMG TSF 2</t>
  </si>
  <si>
    <t>MMG TSF 3</t>
  </si>
  <si>
    <t>MMG Yuletide In-pit TSF</t>
  </si>
  <si>
    <t>Location</t>
  </si>
  <si>
    <t xml:space="preserve">Ownership status </t>
  </si>
  <si>
    <t>Owned</t>
  </si>
  <si>
    <t xml:space="preserve">Operational Status </t>
  </si>
  <si>
    <t>Inactive</t>
  </si>
  <si>
    <t>Active</t>
  </si>
  <si>
    <t>Construction method</t>
  </si>
  <si>
    <t>Upstream</t>
  </si>
  <si>
    <t xml:space="preserve">Upstream </t>
  </si>
  <si>
    <t xml:space="preserve">In-pit </t>
  </si>
  <si>
    <t>Maxium permitted storage capacity</t>
  </si>
  <si>
    <t>m3</t>
  </si>
  <si>
    <r>
      <t>32.5 x 10</t>
    </r>
    <r>
      <rPr>
        <sz val="8"/>
        <color theme="8"/>
        <rFont val="Aptos Narrow"/>
        <family val="2"/>
      </rPr>
      <t>⁶</t>
    </r>
  </si>
  <si>
    <t>9.4 x 10⁶</t>
  </si>
  <si>
    <t>14.19 x 10⁶</t>
  </si>
  <si>
    <t>25.33 x 10⁶</t>
  </si>
  <si>
    <t>1.012 x 10⁶</t>
  </si>
  <si>
    <t>Current Tailings Stored*</t>
  </si>
  <si>
    <r>
      <t>29.2 x 10</t>
    </r>
    <r>
      <rPr>
        <sz val="8"/>
        <color theme="8"/>
        <rFont val="Aptos Narrow"/>
        <family val="2"/>
      </rPr>
      <t>⁶</t>
    </r>
  </si>
  <si>
    <t>9.19 x 10⁶</t>
  </si>
  <si>
    <t>11.39 x 10⁶</t>
  </si>
  <si>
    <t>23.43 x 10⁶</t>
  </si>
  <si>
    <t>0.47 x 10⁶</t>
  </si>
  <si>
    <t>Total weight of tailings produced (FY25)</t>
  </si>
  <si>
    <t xml:space="preserve">Consequence classification </t>
  </si>
  <si>
    <t>High Category 1</t>
  </si>
  <si>
    <t xml:space="preserve">Significant Category 1 </t>
  </si>
  <si>
    <t>Low Category 3</t>
  </si>
  <si>
    <t>Date of most recent independent technical review</t>
  </si>
  <si>
    <t>Date</t>
  </si>
  <si>
    <t>Material findings from review</t>
  </si>
  <si>
    <t>Yes/No</t>
  </si>
  <si>
    <t>N</t>
  </si>
  <si>
    <t xml:space="preserve">Mitigation measures implemented </t>
  </si>
  <si>
    <t>Site specifics EPRP's</t>
  </si>
  <si>
    <t>Yes</t>
  </si>
  <si>
    <t>No</t>
  </si>
  <si>
    <t>Number of nature of significant incidents/ non-compliance/ infringements/ fines</t>
  </si>
  <si>
    <t>LAND MANAGEMENT (Per Site)</t>
  </si>
  <si>
    <r>
      <t>Rebecca-Roe</t>
    </r>
    <r>
      <rPr>
        <b/>
        <vertAlign val="superscript"/>
        <sz val="8"/>
        <color theme="0"/>
        <rFont val="Calibri"/>
        <family val="2"/>
        <scheme val="major"/>
      </rPr>
      <t>2</t>
    </r>
  </si>
  <si>
    <t>Land disturbance and rehabilitation  (as reported in MRF)</t>
  </si>
  <si>
    <t>Land disturbed to date</t>
  </si>
  <si>
    <t>Hectare (ha)</t>
  </si>
  <si>
    <t>Land rehabilitated to date</t>
  </si>
  <si>
    <t xml:space="preserve">Notes: </t>
  </si>
  <si>
    <t xml:space="preserve"> 2 - Includes reported disturbances from AC Minerals, Lake Roe Gold Mining, Breaker Resources</t>
  </si>
  <si>
    <t>LAND MANAGEMENT (Total)</t>
  </si>
  <si>
    <t>Ramelius Total</t>
  </si>
  <si>
    <t xml:space="preserve">Land disturbance and rehabilitation </t>
  </si>
  <si>
    <t>Total land tenement</t>
  </si>
  <si>
    <t>WASTE MANAGEMENT</t>
  </si>
  <si>
    <t>Waste sent to on site landfill</t>
  </si>
  <si>
    <t>Kilotonnes (kt)</t>
  </si>
  <si>
    <t xml:space="preserve">NR </t>
  </si>
  <si>
    <t>NR</t>
  </si>
  <si>
    <t>Total weight of waste rock waste (overburden)</t>
  </si>
  <si>
    <t>Total weight of hazardous waste generated</t>
  </si>
  <si>
    <t>Number of significant incidents associated with hazardous materials and waste management</t>
  </si>
  <si>
    <t>Quantity</t>
  </si>
  <si>
    <t>Mount Magnet</t>
  </si>
  <si>
    <t>Tyres</t>
  </si>
  <si>
    <t>Kilogram (kg)</t>
  </si>
  <si>
    <t>Waste Oil</t>
  </si>
  <si>
    <t>Litre (L)</t>
  </si>
  <si>
    <t>Hydrocarbon Bins</t>
  </si>
  <si>
    <t>Coolant</t>
  </si>
  <si>
    <t>Oily Water</t>
  </si>
  <si>
    <t>Scrap steel</t>
  </si>
  <si>
    <t>Kg</t>
  </si>
  <si>
    <t>Copper Wire</t>
  </si>
  <si>
    <t>Rubber</t>
  </si>
  <si>
    <t>Wood</t>
  </si>
  <si>
    <t>Electirc Motors</t>
  </si>
  <si>
    <t>CLOSURE</t>
  </si>
  <si>
    <t>FY25 Closure planning</t>
  </si>
  <si>
    <t>Is there a mine closure plan in place?</t>
  </si>
  <si>
    <t>Y</t>
  </si>
  <si>
    <t>Status of closure activities implementation</t>
  </si>
  <si>
    <t>Status</t>
  </si>
  <si>
    <t>Progressive</t>
  </si>
  <si>
    <t>Monitor</t>
  </si>
  <si>
    <t>Revisions submitted during FY25</t>
  </si>
  <si>
    <t>Revision</t>
  </si>
  <si>
    <t>2*</t>
  </si>
  <si>
    <t>Note: All operational projects have mine closure plans in place as they form part of the environmental approvals process. Rebecca-Roe does not have a MCP as it is under exploration.
MCP’s are typically revised every three years. Rebecca-Roe is an exploration site and so no MCP is currently in place.
Progressive = rehabilitation undertaken during mining/exploration activities.
Active = closure activities undertaken at the completion of a project.
Monitoring = monitoring of rehabilitation and/or maintenance of closure tasks.</t>
  </si>
  <si>
    <t>Sustainability Data Book FY2022</t>
  </si>
  <si>
    <t>TASK FORCE ON CLIMATE-RELATED FINANCIAL DISCLOSURES (TCFD)</t>
  </si>
  <si>
    <t>Disclosure</t>
  </si>
  <si>
    <t>Reference to Disclosure</t>
  </si>
  <si>
    <t>Ramelius Progress</t>
  </si>
  <si>
    <t>Governance</t>
  </si>
  <si>
    <t>Describe the board’s oversight of climate-related risks and opportunities.</t>
  </si>
  <si>
    <t>The Board ensures that climate-related risks and opportunities are incorporated into our strategic direction and objectives we set. Climate risk topics are included on board agendas. The Board is committed to disclose climate-related strategies consistently and transparently to stakeholders. To help carry out this work, The Board has delegated to Risk &amp; Sustainability Committee (RS Committee) responsibility to oversee the Company’s risk management systems, sustainability programs and mitigating controls. The RS Committee is comprised of Independent Non-Executive Directors. 
In accordance with the Risk &amp; Sustainability Committee Charter, the RS Committee is responsible for making recommendations to the Board regarding our sustainability objectives, including our climate change strategy. The climate change strategy ensures both physical and transitional climate related risks and opportunities which affect our ability to achieve our objectives are identified, assessed and where relevant, mitigated. This includes oversight of our pathway towards decarbonisation and emissions reductions. The RS Committee also oversees the management of specific climate-related risks and opportunities through regular review of best practice, internal compliance programs and relevant sustainability frameworks. Our risk appetite is approved by the Board and determines the approach adopted by Senior Executives in achieving our strategic goals.</t>
  </si>
  <si>
    <t>Describe management’s role in assessing and managing climate-related risks and opportunities.</t>
  </si>
  <si>
    <t>Our Senior Executives, led by the CEO, are responsible for fulfilling Board-approved strategies, policies, and associated risk management plans which include climate-related issues. Management reports progress and activities to the Risk &amp; Sustainability Committee. 
At site level, Risk Registers include risks and mitigation plans at all operations. Senior Site Executives help prepare an annual Sustainability Report for endorsement by the RS Committee and approval by the Board. The Company’s risk management program, Ramelius Essentials, supports the objective of being a sustainable gold producer. Senior Managers across all functions are responsible for embedding strategic risk management in decision making at every level of the Company.
The Sustainability Working Group supports management’s role in overseeing sustainability risks and opportunities, including those related to climate change. This group consists of cross-functional members and contains representation from each of business unit. Climate-related risks and opportunities are discussed and escalated, when required, to the Committee. 
Ramelius management are responsible for reviewing and monitoring, and reporting to the Board where appropriate, on matters including:
• The effectiveness of our policies, systems and governance structure in identifying and managing material climate–related risks.
• The coordination and review of climate related risks, strategy, and reporting.
• The development and implementation of initiatives regarding emissions reduction.
• The policies and systems for ensuring compliance with applicable legal and regulatory requirements associated with climate–related matters.</t>
  </si>
  <si>
    <t>Strategy</t>
  </si>
  <si>
    <t>Describe the climate-related risks and opportunities the organization has identified over the short, medium, and long term.</t>
  </si>
  <si>
    <t>Describe the impact of climate-related risks and opportunities on the organization’s businesses, strategy, and financial planning.</t>
  </si>
  <si>
    <t>Describe the resilience of the organization’s strategy, taking into consideration different climate-related scenarios, including a 2°C or lower scenario.</t>
  </si>
  <si>
    <t>Risk Management</t>
  </si>
  <si>
    <t>Describe the organization’s processes for identifying and assessing climate-related risks.</t>
  </si>
  <si>
    <t>Describe the organization’s processes for managing climate-related risks.</t>
  </si>
  <si>
    <t>Describe how processes for identifying, assessing, and managing climate-related risks are integrated into the organization’s overall risk management.</t>
  </si>
  <si>
    <t>Metrics and Targets</t>
  </si>
  <si>
    <t>Disclose the metrics used by the organization to assess climate-related risks and opportunities in line with its strategy and risk management process.</t>
  </si>
  <si>
    <t xml:space="preserve">•  Measured and disclosed Scope 1 and 2 emissions for the past four years. Disclosed site level emissions for the past two years
•  Measurements are made using GHG Protocol and Australian government NGER methodologies by specialist carbon accounts Greenbase 
• Disclosed emissions intensity for tonnes of emissions per oz of gold produced 
•  Developed a Scope 3 calculation tool to improve the overall reporting </t>
  </si>
  <si>
    <t>Disclose Scope 1, Scope 2, and, if appropriate, Scope 3 greenhouse gas (GHG) emissions, and the related risks.</t>
  </si>
  <si>
    <t>Describe the targets used by the organization to manage climate-related risks and opportunities and performance against targets.</t>
  </si>
  <si>
    <t>SUSTAINABILITY ACCOUNTING STANDARDS BOARD (SASB)</t>
  </si>
  <si>
    <t>Topic</t>
  </si>
  <si>
    <t>Code</t>
  </si>
  <si>
    <t>Disclosure Title</t>
  </si>
  <si>
    <t xml:space="preserve">Report Section </t>
  </si>
  <si>
    <t>Greenhouse gas emissions</t>
  </si>
  <si>
    <t>EM-MM-110a.1.</t>
  </si>
  <si>
    <t>Gross global Scope 1 emissions</t>
  </si>
  <si>
    <t>Ramelius Sustainability Databook - Emissions</t>
  </si>
  <si>
    <t>EM-MM-110a.2.</t>
  </si>
  <si>
    <t>Discussion of long-term and short-term strategy or plan to manage Scope 1 emissions, emissions reduction targets, and an analysis of performance against those targets</t>
  </si>
  <si>
    <t>Air quality</t>
  </si>
  <si>
    <t>EM-MM-120a.1.</t>
  </si>
  <si>
    <t xml:space="preserve">Air emissions of the following pollutants: (1) CO, (2) NOx (excluding N2O), (3) SOx, (4) particulate matter (PM10), (5) mercury (Hg), (6) lead (Pb), and (7) volatile organic compounds (VOCs) </t>
  </si>
  <si>
    <t>Energy management</t>
  </si>
  <si>
    <t>EM-MM-130a.1.</t>
  </si>
  <si>
    <t>(1) Total energy consumed, (2) percentage grid electricity, (3) percentage renewable</t>
  </si>
  <si>
    <t>Ramelius Sustainability Databook - Energy</t>
  </si>
  <si>
    <t>Water management</t>
  </si>
  <si>
    <t>EM-MM-140a.1.</t>
  </si>
  <si>
    <t>(1) Total fresh water withdrawn, (2) total fresh water consumed, (3) percentage in regions with High or Extremely High Baseline Water Stress</t>
  </si>
  <si>
    <t xml:space="preserve">EM-MM-140a.2. </t>
  </si>
  <si>
    <t>Number of incidents of non-compliance associated with water quality permits, standards, and regulations</t>
  </si>
  <si>
    <t>Ramelius Sustainability Databook - Water</t>
  </si>
  <si>
    <t>Waste and hazardous materials management</t>
  </si>
  <si>
    <t>EM-MM-150a.4.</t>
  </si>
  <si>
    <t>Total weight of non-mineral waste generated</t>
  </si>
  <si>
    <t>Ramelius Sustainability Databook - Waste</t>
  </si>
  <si>
    <t xml:space="preserve">EM-MM-150a.5. </t>
  </si>
  <si>
    <t>Total weight of tailings produced</t>
  </si>
  <si>
    <t>Ramelius Sustainability Databook - Tailings</t>
  </si>
  <si>
    <t xml:space="preserve">EM-MM-150a.6. </t>
  </si>
  <si>
    <t>Total weight of waste rock generated</t>
  </si>
  <si>
    <t xml:space="preserve">EM-MM-150a.7. </t>
  </si>
  <si>
    <t xml:space="preserve">EM-MM-150a.8. </t>
  </si>
  <si>
    <t>Total weight of hazardous waste recycled</t>
  </si>
  <si>
    <t xml:space="preserve">EM-MM-150a.9. </t>
  </si>
  <si>
    <t xml:space="preserve">EM-MM-150a.10. </t>
  </si>
  <si>
    <t>Description of waste and hazardous materials management policies and procedures for active and inactive operations</t>
  </si>
  <si>
    <t>Biodiversity impacts</t>
  </si>
  <si>
    <t xml:space="preserve">EM-MM-160a.1. </t>
  </si>
  <si>
    <t>Description of environmental management policies and practices for active sites</t>
  </si>
  <si>
    <t xml:space="preserve">Our Environment </t>
  </si>
  <si>
    <t xml:space="preserve">EM-MM-160a.2. </t>
  </si>
  <si>
    <t>Mine sites where acid rock drainage is: (1) predicted to occur, (2) actively mitigated, and (3) under treatment or remediation</t>
  </si>
  <si>
    <t>Note: None of our mine sites have ARD to be predicted to occur, actively mitigates, or under treatment or remediation.</t>
  </si>
  <si>
    <t xml:space="preserve">EM-MM-160a.3. </t>
  </si>
  <si>
    <t>P(1) proved and (2) probable reserves in or near sites with protected conservation status or endangered species habitat</t>
  </si>
  <si>
    <t>Note: None of our proved or probable reserves are in or near sites with protected conservation status or endangered species habitats.</t>
  </si>
  <si>
    <t>Security, Human Rights &amp; Rights of Indigenous Peoples</t>
  </si>
  <si>
    <t xml:space="preserve">EM-MM-210a.1. </t>
  </si>
  <si>
    <t>Percentage of (1) proved and (2) probable reserves in or near areas of conflict</t>
  </si>
  <si>
    <t>Note: All Ramelius operations are located in Australia where there is no conflict.</t>
  </si>
  <si>
    <t xml:space="preserve">EM-MM-210a.2. </t>
  </si>
  <si>
    <t>Percentage of (1) proved and (2) probable reserves in or near Indigenous land</t>
  </si>
  <si>
    <t xml:space="preserve">EM-MM-210a.3. </t>
  </si>
  <si>
    <t>Discussion of engagement processes and due diligence practices</t>
  </si>
  <si>
    <t>Community relations</t>
  </si>
  <si>
    <t xml:space="preserve">EM-MM-210b.1. </t>
  </si>
  <si>
    <t>Discussion of process to manage risks and opportunities associated with community rights and interests</t>
  </si>
  <si>
    <t>EM-MM-210b.2.</t>
  </si>
  <si>
    <t>Number and duration of non-technical delays</t>
  </si>
  <si>
    <t>Labour relations</t>
  </si>
  <si>
    <t xml:space="preserve">EM-MM-310a.1. </t>
  </si>
  <si>
    <t>Percentage of active workforce covered under collective bargaining agreements, broken down by U.S. and foreign employees</t>
  </si>
  <si>
    <t xml:space="preserve">EM-MM-310a.2. </t>
  </si>
  <si>
    <t>Workforce health &amp; safety</t>
  </si>
  <si>
    <t xml:space="preserve">EM-MM-320a.1. </t>
  </si>
  <si>
    <t>(1) MSHA all-incidence rate, (2) fatality rate, (3) near miss frequency rate (NMFR)</t>
  </si>
  <si>
    <t>(4) average hours of health, safety, and emergency response training</t>
  </si>
  <si>
    <t>Ramelius Sustainability Databook - Safety</t>
  </si>
  <si>
    <t>Business ethics &amp; transparency</t>
  </si>
  <si>
    <t xml:space="preserve">EM-MM-510a.1. </t>
  </si>
  <si>
    <t>Description of the management system for prevention of corruption and bribery throughout the value chain</t>
  </si>
  <si>
    <t xml:space="preserve">Business Ethics </t>
  </si>
  <si>
    <t xml:space="preserve">EM-MM-510a.2. </t>
  </si>
  <si>
    <t>Production in countries that have the 20 lowest rankings in Transparency International’s Corruption Perception Index</t>
  </si>
  <si>
    <t>Note: All Ramelius operations are located in Australia.</t>
  </si>
  <si>
    <t>Tailings Approach</t>
  </si>
  <si>
    <t xml:space="preserve">EM-MM-540a.1. </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</si>
  <si>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</si>
  <si>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 xml:space="preserve">EM-MM-540a.2. </t>
  </si>
  <si>
    <t>Summary of tailings management systems and governance structure used to monitor and maintain the stability of tailings storage facilities</t>
  </si>
  <si>
    <t xml:space="preserve">EM-MM-540a.3. </t>
  </si>
  <si>
    <t>Preparedness and Response Plans (EPRPs) for tailings storage facilities</t>
  </si>
  <si>
    <t>Activity metrics</t>
  </si>
  <si>
    <t xml:space="preserve">EM-MM-000.A
</t>
  </si>
  <si>
    <t>Production of (1) metal ores and (2) finished metal products in metric tons</t>
  </si>
  <si>
    <t>Ramelius Sustainability Databook - Economic Contributions</t>
  </si>
  <si>
    <t xml:space="preserve">EM-MM-000.B
</t>
  </si>
  <si>
    <t>Total number of employees, percentage contractors</t>
  </si>
  <si>
    <t>Ramelius Sustainability Databook - People</t>
  </si>
  <si>
    <t>Version control: Performance Data Tables posted October 2025</t>
  </si>
  <si>
    <t>We welcome feedback on this data set, our annual sustainability report or any other aspect of our ESG performance.</t>
  </si>
  <si>
    <t>Input-output method: FY2025 spend in Australian dollars was sourced from our finance and accounting system. US EPA factors were applied to convert spend into emission estimates.</t>
  </si>
  <si>
    <t>Emissions attributable to waste generated by Ramelius' operations were estimated using the factors from the US EPA.</t>
  </si>
  <si>
    <t>Flight, hotels and accommodation emissions were estimated using the US EPA factors to convert spend into emission estimates.</t>
  </si>
  <si>
    <t>Employee commuting emissions were estimated using the US EPA factors to convert spend into emission estimates.</t>
  </si>
  <si>
    <t>An emissions figure is not calculated for this category as Ramelius does not lease significant downstream assets in the course of normal operations.</t>
  </si>
  <si>
    <t>An emissions figure is not calculated for this category as Ramelius does not have franchised operations.</t>
  </si>
  <si>
    <t>Notes: Emissions reflect mine hub and associated satellite sites:
Edna May includes Marda, Tampia and Symes.
Mt Magnet includes Cue, Penny and Vivien.</t>
  </si>
  <si>
    <t>Note: Totals before FY24 included data from Vivien Gold Mine which is no longer held by Ramelius. ERTs are no longer deployed there since operations ceased.</t>
  </si>
  <si>
    <t>SAFETY PERFORMANCE</t>
  </si>
  <si>
    <t>Energy use includes energy consumption associated with fuel combustion, and energy from electricity sourced from solar energyl. 
Energy conversion factors are standard factors consistent with the Australian National Greenhouse and Energy Reporting Measurement Determination 2008, the Intergovernmental Panel on Climate Change (IPCC) and the IEA, using calculation approaches aligned to guidance from the World Resources Institute/World Business Council for Sustainable Development. Energy consumption is presented for all operations within our operational control as at 30 June 2025.</t>
  </si>
  <si>
    <t xml:space="preserve">This performance data reflects the annual disclosure of our sustainability performance at Ramelius Resources Limited, for our operations as at 30 June 2025.
Any restatements of this data set will be noted in italics with an explanation for the restatement.  </t>
  </si>
  <si>
    <t>Our FY2025 ESG data tables are part of a larger package of sustainability disclosures integrated within our FY2025 Annual Report, which is available on our website: https://www.rameliusresources.com.au/annual-reports/
Additional management disclosure approach for each of our sustainability topics has been included on in the Sustainability section of our website, including policies for each sustainability topic area: https://www.rameliusresources.com.au/_sustainability/</t>
  </si>
  <si>
    <t xml:space="preserve">• Annual Committee meetings held 
• Committed to continuing TCFD and IFRS S2 alignment by conducting scenario analyses and resilience testing in FY25.
• Engaged consultant to conduct a peer benchmarking review to set a baseline reference point for actions and disclosures in relation to climate-related risks and opportunities.
• Engaged consultant to conduct an uplift on climate risk knowledge for the board including presentations around climate consultancy and changes to regulations.
• Inclusion of climate risks within Environmental Policy 
• Senior staff members participated in climate scenario analysis preparation </t>
  </si>
  <si>
    <t>Ramelius does not have any U.S. or foreign employees.</t>
  </si>
  <si>
    <t>Note: Ramelius does not record MSHA All Incident Rate as it does not apply to Australian operations.</t>
  </si>
  <si>
    <t>Input-output method: FY2025 spend on tanglible and intangible assets in Australian dollars was sourced from our finance &amp; accounting system for capital goods (mining and transport equipment). US EPA factors were applied to convert spend into emission estimates.</t>
  </si>
  <si>
    <t xml:space="preserve">Emissions related to the distribution of products. 
The data is obtained from the on site transportation teams and calculated based on the mileage and specific emission factors. </t>
  </si>
  <si>
    <t>An emissions figure is not calculated for this category as Ramelius does not have third party haulage for goods processed.</t>
  </si>
  <si>
    <t xml:space="preserve">Gold downstream transportation was found to be insignificant based on production estimates. Gold is assumed to be transported to Perth Mint for refining. </t>
  </si>
  <si>
    <t xml:space="preserve">Notes: This data Indicates waste which has been diverted from disposal through preparation for reuse, recycling, composting or other recovery operations occurring offsite.
FY25 data only relates to Mt Magnet. </t>
  </si>
  <si>
    <t>*</t>
  </si>
  <si>
    <t>Other items sent offsite include waste oil, hydrocarbons, batteries and fluoro light tubes*</t>
  </si>
  <si>
    <t xml:space="preserve">* This consists of a 10L bucket of batteries and  10 boxes of fluro tube. </t>
  </si>
  <si>
    <t xml:space="preserve">Scope 3 greenhouse gas (GHG) emissions refer to emissions that fall within a company’s value chain but are outside its operational control.  Our approach to evaluating, categorising and estimating Scope 3 emissions is informed by the International Greenhouse Gas Protocol's Corporate Value Chain (Scope 3) Accounting and Reporting Standard. In accordance with this standard, we have estimated Scope 3 emissions relating to our business for the 2025 reporting year. </t>
  </si>
  <si>
    <t>An emissions figure is not calculated for this category as Ramelius does not have investment operations as at the reporting date.</t>
  </si>
  <si>
    <t>Total Scope 3 Emissions</t>
  </si>
  <si>
    <t>Includes all upstream emissions from products purchased or services used in the financial year (excluding mining equipment and activities, reported/covered by other Scope 3 categories).</t>
  </si>
  <si>
    <t xml:space="preserve">These include the assets acquired in the financial year used to produce goods and services including but not limited to mining, haulage, transport, and electrical equipment.
</t>
  </si>
  <si>
    <t>Emissions related to the production of fuels and energy purchased and consumed by Ramelius in the reporting year that are not included in scope 1 or scope 2.
Fuel and energy consumption data extracted from internal databases. Factors were sourced from the US EPA.</t>
  </si>
  <si>
    <t>Emissions attributable to the extraction, production and transport of fuels were estimated using the factors from the US EPA, applied to consumption data for diesel, as well as electricity consumption multiplied by the corresponding Scope 3 emissions factor.</t>
  </si>
  <si>
    <t xml:space="preserve">Two calculations:
1. Fixed: Based on the mileage travelled for the distribution of goods during the year
2. Supplier Spend: Obtaining the supplier spent on transport and haulage providers in the financial year </t>
  </si>
  <si>
    <t xml:space="preserve">Waste generation data extracted from internal databases capturing waste data. Factors were sourced from the US EPA.
</t>
  </si>
  <si>
    <t xml:space="preserve">Employee commuting emissions were calculated by obtaining mine site bus data and flights to and from mine sites.
The appropiate EPA emission factor is then applied. </t>
  </si>
  <si>
    <t>Business travel emissions were calculated by applying US EPA factors to travel spend.</t>
  </si>
  <si>
    <t>Calculated a supplier specific emission intensity factor using Perth Mint production obtained from the most recent annual report.</t>
  </si>
  <si>
    <t>Reflects emissions from processing of sold intermediate products by the Perth Mint subsequent to sale by Ramelius.</t>
  </si>
  <si>
    <t>An emissions figure was estimated for the current reporting period but was found to be highly immaterial to the total Scope 3 footprint and therefore not included.</t>
  </si>
  <si>
    <t>Data is populated from the date of the most recent independent technical review completed.</t>
  </si>
  <si>
    <r>
      <t>Edna May</t>
    </r>
    <r>
      <rPr>
        <b/>
        <sz val="8"/>
        <color theme="0"/>
        <rFont val="Calibri"/>
        <family val="2"/>
      </rPr>
      <t>¹</t>
    </r>
  </si>
  <si>
    <t>1 -  Edna May includes Symes Operation data</t>
  </si>
  <si>
    <t>-</t>
  </si>
  <si>
    <t>*Project specific Mine Closure plans submitted with Mining Proposals. Site wide Mine Closure Plan to be revised in 2026</t>
  </si>
  <si>
    <t>Our Climate</t>
  </si>
  <si>
    <t>• Mandated that climate-related risks and opportunities are a responsibility of all Senior Managers across all functions. These managers form the Sustainability Working Group that meets to discuss climate and other ESG risks and opportunities.
• Enhancing management’s role in climate-related matters.
• Management prepare an Annual Sustainability Report for endorsement by the Risk and Sustainability Committee and approval by the Board.</t>
  </si>
  <si>
    <t>• Identified risks have been disclosed 
• Operation and strategic responses to the risks are under formalisation in preparation for AASB S2</t>
  </si>
  <si>
    <t xml:space="preserve">• Workshop held for the stakeholders to discuss the material climate risks facing Ramelius 
• Risks were assessed in accordance with the business risk matrix
• Introduction of mitigative responses </t>
  </si>
  <si>
    <t xml:space="preserve">• Refer to the FY25 Sustainability Report 
• We have already started introducing mitigative responses to each of these risks, however in FY2026, we plan to use this climate-related risk and opportunity assessment to better formalize our operational and strategic responses to each risk, and to better quantify the potential exposure and impact to the business. </t>
  </si>
  <si>
    <t xml:space="preserve">A climate scenario analysis was conducted in FY25 by an external consultant, who supported our sustainability team to ensure that key climate risks and opportunities were selected and incorporated into our Risk Strategy. The key assumptions underlying the scenarios are described at a high level on page X on the sustainability report for FY25.  Three scenarios were assessed (SSP1-1.9, SSP5-8.5 and Net Zero by 2050) under 3 time horizons (Short, Medium &amp; Long Term). A workshop was held amongst the relevant stakeholders to identify and assess the material climate risks facing Ramelius. These risks were identified and assessed in accordance with the business' risk matrix. Further information over the workshop discussions and outputs can be found on in the Sustainability Report. 
All risks were assessed with the considerations of AASB S2 Climate-related disclosures under the ASRS requirements. </t>
  </si>
  <si>
    <t>We recognise the importance of utilising data metrics to assess and manage climate-related risks and opportunities. We ensure our data metrics are useful for decision making, clear and understandable, and consistent over time. For the past four years we have disclosed our annual Scope 1 and 2 greenhouse gas emissions in accordance with NGER methodologies.
Reporting consistent and historical data allows us to track our emissions performance and progress. We disclose our emissions data at site level in our annual sustainability reporting to provide a clearer picture of our carbon footprint.
Ramelius Resources have disclosed their Scope 3 emissions for FY25. During FY25, a Scope 3 calculation tool was designed to improve the baseline Scope 3 emission calculation and the Scope 3 emission factors applied are standard factors. Refer to the Emissions tab for further detail.</t>
  </si>
  <si>
    <t>Note: Ramelius does not withdraw freshwater (fresh = [&lt;1000 mg/L TDS]) across any of its operations.
Note: None of our Operations and Exploration/Development sites are located within regions of High or Extremely High Baseline Water Stress as classified by the World Resources Institute’s (WRI) Water Risk Atlas tool, Aqueduct.</t>
  </si>
  <si>
    <t>Note: All of Ramelius’s operations fall on land recognised under Indigenous Native Title. The Native Title Act 1993, ensures the co-existence of land management with the recognition and protection of Native Title.</t>
  </si>
  <si>
    <t>Our Communities</t>
  </si>
  <si>
    <t>Note: There were no strikes or lockouts during FY25.</t>
  </si>
  <si>
    <t>Refer to our FY2025 Annual Report</t>
  </si>
  <si>
    <t>Note: There were no non-technical delays during FY25.</t>
  </si>
  <si>
    <t xml:space="preserve">Risk Management
Our Communities 
Community Consultation Policy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</si>
</sst>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_(* \(#,##0\);_(* &quot;-&quot;_);_(@_)"/>
    <numFmt numFmtId="165" formatCode="_(* #,##0.00_);_(* \(#,##0.00\);_(* &quot;-&quot;??_);_(@_)"/>
    <numFmt numFmtId="166" formatCode="_(* #,##0.0_);_(* \(#,##0.0\);_(* &quot;-&quot;_);_(@_)"/>
    <numFmt numFmtId="167" formatCode="_-* #,##0_-;\-* #,##0_-;_-* &quot;-&quot;??_-;_-@_-"/>
    <numFmt numFmtId="168" formatCode="_-* #,##0.0_-;\-* #,##0.0_-;_-* &quot;-&quot;??_-;_-@_-"/>
    <numFmt numFmtId="169" formatCode="0.0"/>
    <numFmt numFmtId="170" formatCode="0.0%"/>
    <numFmt numFmtId="171" formatCode="_(* #,##0_);_(* \(#,##0\);_(* &quot;-&quot;??_);_(@_)"/>
    <numFmt numFmtId="172" formatCode="_(* #,##0.0_);_(* \(#,##0.0\);_(* &quot;-&quot;??_);_(@_)"/>
    <numFmt numFmtId="173" formatCode="#,##0.0"/>
    <numFmt numFmtId="174" formatCode="_(* #,##0.000_);_(* \(#,##0.000\);_(* &quot;-&quot;??_);_(@_)"/>
  </numFmts>
  <fonts count="75">
    <font>
      <sz val="11"/>
      <color theme="1"/>
      <name val="Calibri"/>
      <family val="2"/>
      <scheme val="minor"/>
    </font>
    <font>
      <sz val="11"/>
      <color theme="1"/>
      <name val="Calibri"/>
      <family val="2"/>
      <scheme val="minor"/>
    </font>
    <font>
      <sz val="8"/>
      <name val="Arial"/>
      <family val="2"/>
    </font>
    <font>
      <sz val="10"/>
      <name val="Arial"/>
      <family val="2"/>
    </font>
    <font>
      <sz val="7"/>
      <name val="Arial Black"/>
      <family val="2"/>
    </font>
    <font>
      <sz val="7"/>
      <color theme="0"/>
      <name val="Calibri"/>
      <family val="2"/>
      <scheme val="major"/>
    </font>
    <font>
      <sz val="7"/>
      <name val="Arial"/>
      <family val="2"/>
    </font>
    <font>
      <sz val="7"/>
      <name val="Calibri"/>
      <family val="2"/>
      <scheme val="minor"/>
    </font>
    <font>
      <u/>
      <sz val="11"/>
      <color theme="10"/>
      <name val="Calibri"/>
      <family val="2"/>
      <scheme val="minor"/>
    </font>
    <font>
      <u/>
      <sz val="8"/>
      <color theme="10"/>
      <name val="Arial"/>
      <family val="2"/>
    </font>
    <font>
      <b/>
      <sz val="7"/>
      <name val="Arial"/>
      <family val="2"/>
    </font>
    <font>
      <sz val="7"/>
      <name val="Calibri"/>
      <family val="2"/>
      <scheme val="major"/>
    </font>
    <font>
      <b/>
      <sz val="7"/>
      <color theme="0"/>
      <name val="Calibri"/>
      <family val="2"/>
      <scheme val="major"/>
    </font>
    <font>
      <u/>
      <sz val="8"/>
      <color theme="10"/>
      <name val="Calibri"/>
      <family val="2"/>
      <scheme val="major"/>
    </font>
    <font>
      <b/>
      <sz val="12"/>
      <name val="Calibri"/>
      <family val="2"/>
      <scheme val="major"/>
    </font>
    <font>
      <sz val="10"/>
      <name val="Calibri"/>
      <family val="2"/>
      <scheme val="major"/>
    </font>
    <font>
      <sz val="10"/>
      <color rgb="FF000000"/>
      <name val="Calibri"/>
      <family val="2"/>
      <scheme val="major"/>
    </font>
    <font>
      <b/>
      <sz val="10"/>
      <color rgb="FF000000"/>
      <name val="Calibri"/>
      <family val="2"/>
      <scheme val="major"/>
    </font>
    <font>
      <b/>
      <sz val="7"/>
      <name val="Calibri"/>
      <family val="2"/>
      <scheme val="minor"/>
    </font>
    <font>
      <i/>
      <sz val="7"/>
      <name val="Calibri"/>
      <family val="2"/>
      <scheme val="minor"/>
    </font>
    <font>
      <b/>
      <sz val="9"/>
      <color rgb="FFFF0000"/>
      <name val="Arial"/>
      <family val="2"/>
    </font>
    <font>
      <sz val="7"/>
      <color rgb="FFFF0000"/>
      <name val="Arial"/>
      <family val="2"/>
    </font>
    <font>
      <sz val="6"/>
      <color theme="1"/>
      <name val="RT_Vickerman Light"/>
      <family val="2"/>
    </font>
    <font>
      <sz val="6"/>
      <name val="Calibri"/>
      <family val="2"/>
      <scheme val="minor"/>
    </font>
    <font>
      <sz val="10"/>
      <color theme="1"/>
      <name val="Calibri"/>
      <family val="2"/>
      <scheme val="major"/>
    </font>
    <font>
      <b/>
      <sz val="9"/>
      <color theme="5" tint="-0.499984740745262"/>
      <name val="Calibri"/>
      <family val="2"/>
      <scheme val="major"/>
    </font>
    <font>
      <b/>
      <sz val="8"/>
      <color theme="5" tint="-0.499984740745262"/>
      <name val="Calibri"/>
      <family val="2"/>
      <scheme val="major"/>
    </font>
    <font>
      <sz val="11"/>
      <color rgb="FF000000"/>
      <name val="Calibri"/>
      <family val="2"/>
      <scheme val="minor"/>
    </font>
    <font>
      <sz val="7"/>
      <color theme="1"/>
      <name val="Calibri"/>
      <family val="2"/>
      <scheme val="minor"/>
    </font>
    <font>
      <b/>
      <sz val="11"/>
      <color rgb="FFFF0000"/>
      <name val="Calibri"/>
      <family val="2"/>
      <scheme val="minor"/>
    </font>
    <font>
      <sz val="10"/>
      <color rgb="FF833C0C"/>
      <name val="Calibri"/>
      <family val="2"/>
      <scheme val="major"/>
    </font>
    <font>
      <b/>
      <sz val="10"/>
      <color rgb="FF00386D"/>
      <name val="Calibri"/>
      <family val="2"/>
      <scheme val="major"/>
    </font>
    <font>
      <sz val="8"/>
      <name val="Calibri"/>
      <family val="2"/>
      <scheme val="minor"/>
    </font>
    <font>
      <b/>
      <sz val="10"/>
      <color theme="0"/>
      <name val="Calibri"/>
      <family val="2"/>
      <scheme val="major"/>
    </font>
    <font>
      <sz val="10"/>
      <color theme="8"/>
      <name val="Calibri"/>
      <family val="2"/>
      <scheme val="major"/>
    </font>
    <font>
      <b/>
      <sz val="10"/>
      <color theme="6"/>
      <name val="Calibri"/>
      <family val="2"/>
      <scheme val="major"/>
    </font>
    <font>
      <b/>
      <sz val="9.5"/>
      <color theme="6"/>
      <name val="Arial"/>
      <family val="2"/>
    </font>
    <font>
      <sz val="11"/>
      <color theme="8"/>
      <name val="Calibri (Body)"/>
    </font>
    <font>
      <b/>
      <sz val="9"/>
      <color theme="6"/>
      <name val="Calibri"/>
      <family val="2"/>
      <scheme val="major"/>
    </font>
    <font>
      <sz val="7"/>
      <color theme="8"/>
      <name val="Calibri"/>
      <family val="2"/>
      <scheme val="minor"/>
    </font>
    <font>
      <b/>
      <sz val="7"/>
      <color theme="8"/>
      <name val="Calibri"/>
      <family val="2"/>
      <scheme val="minor"/>
    </font>
    <font>
      <b/>
      <sz val="9"/>
      <color theme="4"/>
      <name val="Calibri"/>
      <family val="2"/>
      <scheme val="major"/>
    </font>
    <font>
      <b/>
      <sz val="10"/>
      <color theme="4"/>
      <name val="Calibri"/>
      <family val="2"/>
      <scheme val="major"/>
    </font>
    <font>
      <sz val="7"/>
      <color theme="8"/>
      <name val="Calibri (Body)"/>
    </font>
    <font>
      <sz val="8"/>
      <color theme="8"/>
      <name val="Calibri (Body)"/>
    </font>
    <font>
      <sz val="11"/>
      <color theme="6"/>
      <name val="Calibri"/>
      <family val="2"/>
      <scheme val="minor"/>
    </font>
    <font>
      <sz val="11"/>
      <color theme="6"/>
      <name val="Calibri (Body)"/>
    </font>
    <font>
      <b/>
      <sz val="9"/>
      <color theme="6"/>
      <name val="Calibri (Body)"/>
    </font>
    <font>
      <sz val="6"/>
      <color theme="4"/>
      <name val="Calibri"/>
      <family val="2"/>
      <scheme val="minor"/>
    </font>
    <font>
      <sz val="10"/>
      <color theme="4"/>
      <name val="Arial"/>
      <family val="2"/>
    </font>
    <font>
      <sz val="11"/>
      <color theme="4"/>
      <name val="Calibri"/>
      <family val="2"/>
      <scheme val="minor"/>
    </font>
    <font>
      <i/>
      <sz val="7"/>
      <color theme="4"/>
      <name val="Calibri"/>
      <family val="2"/>
      <scheme val="minor"/>
    </font>
    <font>
      <i/>
      <sz val="7"/>
      <color theme="8"/>
      <name val="Calibri"/>
      <family val="2"/>
      <scheme val="minor"/>
    </font>
    <font>
      <sz val="10"/>
      <color theme="8"/>
      <name val="Arial"/>
      <family val="2"/>
    </font>
    <font>
      <sz val="11"/>
      <color theme="8"/>
      <name val="Calibri"/>
      <family val="2"/>
      <scheme val="minor"/>
    </font>
    <font>
      <b/>
      <sz val="9"/>
      <color theme="8"/>
      <name val="Calibri"/>
      <family val="2"/>
      <scheme val="major"/>
    </font>
    <font>
      <b/>
      <sz val="9"/>
      <color theme="4"/>
      <name val="Calibri (Body)"/>
    </font>
    <font>
      <u/>
      <sz val="7"/>
      <color theme="8"/>
      <name val="Calibri"/>
      <family val="2"/>
      <scheme val="minor"/>
    </font>
    <font>
      <sz val="7"/>
      <color theme="8"/>
      <name val="Calibri"/>
      <family val="2"/>
      <scheme val="major"/>
    </font>
    <font>
      <u/>
      <sz val="7"/>
      <color theme="8"/>
      <name val="Calibri"/>
      <family val="2"/>
      <scheme val="major"/>
    </font>
    <font>
      <u/>
      <sz val="8"/>
      <color theme="8"/>
      <name val="Calibri (Body)"/>
    </font>
    <font>
      <b/>
      <sz val="9"/>
      <color rgb="FF8A1F03"/>
      <name val="Calibri"/>
      <family val="2"/>
    </font>
    <font>
      <b/>
      <sz val="7"/>
      <color theme="1"/>
      <name val="Calibri"/>
      <family val="2"/>
      <scheme val="minor"/>
    </font>
    <font>
      <b/>
      <sz val="8"/>
      <color theme="0"/>
      <name val="Calibri"/>
      <family val="2"/>
      <scheme val="major"/>
    </font>
    <font>
      <b/>
      <i/>
      <sz val="7"/>
      <name val="Calibri"/>
      <family val="2"/>
      <scheme val="minor"/>
    </font>
    <font>
      <sz val="8"/>
      <color theme="8"/>
      <name val="Aptos Narrow"/>
      <family val="2"/>
    </font>
    <font>
      <b/>
      <sz val="9"/>
      <color theme="7" tint="9.9978637043366805E-2"/>
      <name val="Calibri (Body)"/>
    </font>
    <font>
      <b/>
      <sz val="7"/>
      <color theme="0"/>
      <name val="Calibri"/>
      <family val="2"/>
      <scheme val="minor"/>
    </font>
    <font>
      <sz val="7"/>
      <color theme="8"/>
      <name val="Aptos Narrow"/>
      <family val="2"/>
    </font>
    <font>
      <sz val="6.35"/>
      <color theme="8"/>
      <name val="Calibri"/>
      <family val="2"/>
    </font>
    <font>
      <b/>
      <vertAlign val="superscript"/>
      <sz val="8"/>
      <color theme="0"/>
      <name val="Calibri"/>
      <family val="2"/>
      <scheme val="major"/>
    </font>
    <font>
      <sz val="10"/>
      <color theme="1"/>
      <name val="Calibri"/>
      <family val="2"/>
      <scheme val="minor"/>
    </font>
    <font>
      <b/>
      <u/>
      <sz val="11"/>
      <color theme="1"/>
      <name val="Calibri"/>
      <family val="2"/>
      <scheme val="minor"/>
    </font>
    <font>
      <b/>
      <sz val="8"/>
      <color theme="0"/>
      <name val="Calibri"/>
      <family val="2"/>
    </font>
    <font>
      <sz val="10"/>
      <color theme="1" tint="0.34998626667073579"/>
      <name val="Calibri"/>
      <family val="2"/>
      <scheme val="major"/>
    </font>
  </fonts>
  <fills count="1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
      <patternFill patternType="solid">
        <fgColor theme="9" tint="0.79998168889431442"/>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6" tint="0.749992370372631"/>
        <bgColor indexed="64"/>
      </patternFill>
    </fill>
    <fill>
      <patternFill patternType="solid">
        <fgColor theme="7" tint="0.249977111117893"/>
        <bgColor indexed="64"/>
      </patternFill>
    </fill>
    <fill>
      <patternFill patternType="solid">
        <fgColor theme="7" tint="0.89999084444715716"/>
        <bgColor indexed="64"/>
      </patternFill>
    </fill>
    <fill>
      <patternFill patternType="solid">
        <fgColor theme="5" tint="0.79998168889431442"/>
        <bgColor indexed="64"/>
      </patternFill>
    </fill>
    <fill>
      <patternFill patternType="solid">
        <fgColor theme="6" tint="0.89999084444715716"/>
        <bgColor indexed="64"/>
      </patternFill>
    </fill>
    <fill>
      <patternFill patternType="solid">
        <fgColor theme="9" tint="0.59999389629810485"/>
        <bgColor indexed="64"/>
      </patternFill>
    </fill>
  </fills>
  <borders count="36">
    <border>
      <left/>
      <right/>
      <top/>
      <bottom/>
      <diagonal/>
    </border>
    <border>
      <left/>
      <right/>
      <top/>
      <bottom style="thin">
        <color indexed="64"/>
      </bottom>
      <diagonal/>
    </border>
    <border>
      <left/>
      <right/>
      <top/>
      <bottom style="hair">
        <color auto="1"/>
      </bottom>
      <diagonal/>
    </border>
    <border>
      <left/>
      <right/>
      <top style="hair">
        <color auto="1"/>
      </top>
      <bottom style="medium">
        <color auto="1"/>
      </bottom>
      <diagonal/>
    </border>
    <border>
      <left/>
      <right/>
      <top style="hair">
        <color auto="1"/>
      </top>
      <bottom style="hair">
        <color auto="1"/>
      </bottom>
      <diagonal/>
    </border>
    <border>
      <left/>
      <right/>
      <top/>
      <bottom style="medium">
        <color indexed="64"/>
      </bottom>
      <diagonal/>
    </border>
    <border>
      <left/>
      <right/>
      <top style="medium">
        <color auto="1"/>
      </top>
      <bottom/>
      <diagonal/>
    </border>
    <border>
      <left style="hair">
        <color theme="0"/>
      </left>
      <right/>
      <top/>
      <bottom/>
      <diagonal/>
    </border>
    <border>
      <left style="medium">
        <color rgb="FFFF0000"/>
      </left>
      <right/>
      <top/>
      <bottom/>
      <diagonal/>
    </border>
    <border>
      <left/>
      <right/>
      <top style="hair">
        <color auto="1"/>
      </top>
      <bottom/>
      <diagonal/>
    </border>
    <border>
      <left/>
      <right/>
      <top style="hair">
        <color auto="1"/>
      </top>
      <bottom style="medium">
        <color theme="1"/>
      </bottom>
      <diagonal/>
    </border>
    <border>
      <left/>
      <right/>
      <top style="thin">
        <color theme="9" tint="0.59996337778862885"/>
      </top>
      <bottom style="thin">
        <color theme="9" tint="0.59996337778862885"/>
      </bottom>
      <diagonal/>
    </border>
    <border>
      <left/>
      <right/>
      <top style="hair">
        <color theme="1"/>
      </top>
      <bottom style="hair">
        <color theme="1"/>
      </bottom>
      <diagonal/>
    </border>
    <border>
      <left/>
      <right/>
      <top/>
      <bottom style="hair">
        <color theme="1"/>
      </bottom>
      <diagonal/>
    </border>
    <border>
      <left/>
      <right/>
      <top style="hair">
        <color theme="1"/>
      </top>
      <bottom style="medium">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top style="thin">
        <color theme="0"/>
      </top>
      <bottom/>
      <diagonal/>
    </border>
    <border>
      <left/>
      <right/>
      <top/>
      <bottom style="thin">
        <color theme="0"/>
      </bottom>
      <diagonal/>
    </border>
    <border>
      <left style="hair">
        <color auto="1"/>
      </left>
      <right style="hair">
        <color auto="1"/>
      </right>
      <top/>
      <bottom style="hair">
        <color auto="1"/>
      </bottom>
      <diagonal/>
    </border>
    <border>
      <left style="thin">
        <color indexed="64"/>
      </left>
      <right/>
      <top/>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top/>
      <bottom style="medium">
        <color rgb="FF000000"/>
      </bottom>
      <diagonal/>
    </border>
    <border>
      <left/>
      <right/>
      <top style="hair">
        <color auto="1"/>
      </top>
      <bottom style="medium">
        <color rgb="FF000000"/>
      </bottom>
      <diagonal/>
    </border>
    <border>
      <left/>
      <right/>
      <top style="thin">
        <color theme="0"/>
      </top>
      <bottom style="thin">
        <color auto="1"/>
      </bottom>
      <diagonal/>
    </border>
  </borders>
  <cellStyleXfs count="22">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36" fillId="0" borderId="0"/>
    <xf numFmtId="0" fontId="3" fillId="0" borderId="0" applyProtection="0"/>
    <xf numFmtId="0" fontId="4" fillId="0" borderId="1"/>
    <xf numFmtId="0" fontId="4" fillId="0" borderId="1">
      <alignment horizontal="right"/>
    </xf>
    <xf numFmtId="0" fontId="6" fillId="0" borderId="0"/>
    <xf numFmtId="0" fontId="8" fillId="0" borderId="0" applyNumberFormat="0" applyFill="0" applyBorder="0" applyAlignment="0" applyProtection="0"/>
    <xf numFmtId="166" fontId="10" fillId="3" borderId="0">
      <alignment horizontal="right"/>
    </xf>
    <xf numFmtId="0" fontId="4" fillId="0" borderId="0"/>
    <xf numFmtId="165"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28" fillId="0" borderId="11" applyProtection="0">
      <alignment vertical="center"/>
    </xf>
    <xf numFmtId="43" fontId="1" fillId="0" borderId="0" applyFont="0" applyFill="0" applyBorder="0" applyAlignment="0" applyProtection="0"/>
  </cellStyleXfs>
  <cellXfs count="451">
    <xf numFmtId="0" fontId="0" fillId="0" borderId="0" xfId="0"/>
    <xf numFmtId="0" fontId="1" fillId="2" borderId="0" xfId="3" applyFill="1"/>
    <xf numFmtId="0" fontId="2" fillId="2" borderId="0" xfId="3" applyFont="1" applyFill="1" applyAlignment="1">
      <alignment vertical="center"/>
    </xf>
    <xf numFmtId="0" fontId="3" fillId="2" borderId="0" xfId="3" applyFont="1" applyFill="1" applyAlignment="1">
      <alignment wrapText="1"/>
    </xf>
    <xf numFmtId="0" fontId="1" fillId="2" borderId="0" xfId="3" applyFill="1" applyAlignment="1">
      <alignment horizontal="left" vertical="center" indent="3"/>
    </xf>
    <xf numFmtId="0" fontId="1" fillId="2" borderId="0" xfId="3" applyFill="1" applyAlignment="1">
      <alignment vertical="center"/>
    </xf>
    <xf numFmtId="0" fontId="3" fillId="2" borderId="0" xfId="5" applyFill="1" applyAlignment="1">
      <alignment vertical="center"/>
    </xf>
    <xf numFmtId="0" fontId="6" fillId="2" borderId="0" xfId="8" applyFill="1" applyAlignment="1">
      <alignment vertical="center"/>
    </xf>
    <xf numFmtId="164" fontId="9" fillId="2" borderId="0" xfId="9" applyNumberFormat="1" applyFont="1" applyFill="1" applyBorder="1" applyAlignment="1">
      <alignment horizontal="center" vertical="center"/>
    </xf>
    <xf numFmtId="164" fontId="11" fillId="2" borderId="0" xfId="10" applyNumberFormat="1" applyFont="1" applyFill="1" applyAlignment="1">
      <alignment horizontal="center" vertical="center"/>
    </xf>
    <xf numFmtId="0" fontId="13" fillId="2" borderId="0" xfId="9" applyFont="1" applyFill="1" applyBorder="1" applyAlignment="1">
      <alignment horizontal="center" vertical="center"/>
    </xf>
    <xf numFmtId="0" fontId="3" fillId="2" borderId="0" xfId="5" applyFill="1"/>
    <xf numFmtId="0" fontId="0" fillId="2" borderId="0" xfId="0" applyFill="1"/>
    <xf numFmtId="0" fontId="14" fillId="2" borderId="0" xfId="3" applyFont="1" applyFill="1" applyAlignment="1">
      <alignment wrapText="1"/>
    </xf>
    <xf numFmtId="0" fontId="15" fillId="2" borderId="0" xfId="3" applyFont="1" applyFill="1" applyAlignment="1">
      <alignment wrapText="1"/>
    </xf>
    <xf numFmtId="0" fontId="15" fillId="2" borderId="0" xfId="3" applyFont="1" applyFill="1" applyAlignment="1">
      <alignment horizontal="left" vertical="center" wrapText="1" indent="3"/>
    </xf>
    <xf numFmtId="0" fontId="14" fillId="2" borderId="0" xfId="3" applyFont="1" applyFill="1" applyAlignment="1">
      <alignment vertical="center" wrapText="1"/>
    </xf>
    <xf numFmtId="0" fontId="15" fillId="2" borderId="0" xfId="3" applyFont="1" applyFill="1" applyAlignment="1">
      <alignment horizontal="left" vertical="center" wrapText="1"/>
    </xf>
    <xf numFmtId="0" fontId="19" fillId="2" borderId="0" xfId="8" applyFont="1" applyFill="1" applyAlignment="1">
      <alignment horizontal="right" vertical="center" wrapText="1"/>
    </xf>
    <xf numFmtId="0" fontId="3" fillId="2" borderId="0" xfId="5" applyFill="1" applyAlignment="1">
      <alignment horizontal="right"/>
    </xf>
    <xf numFmtId="0" fontId="20" fillId="2" borderId="0" xfId="4" applyFont="1" applyFill="1" applyAlignment="1">
      <alignment horizontal="right" vertical="center"/>
    </xf>
    <xf numFmtId="169" fontId="3" fillId="2" borderId="0" xfId="5" applyNumberFormat="1" applyFill="1" applyAlignment="1">
      <alignment horizontal="right" vertical="center"/>
    </xf>
    <xf numFmtId="0" fontId="3" fillId="2" borderId="0" xfId="5" applyFill="1" applyAlignment="1">
      <alignment horizontal="right" vertical="center"/>
    </xf>
    <xf numFmtId="164" fontId="21" fillId="2" borderId="0" xfId="10" applyNumberFormat="1" applyFont="1" applyFill="1" applyAlignment="1">
      <alignment horizontal="right" vertical="center"/>
    </xf>
    <xf numFmtId="3" fontId="3" fillId="2" borderId="0" xfId="5" applyNumberFormat="1" applyFill="1"/>
    <xf numFmtId="0" fontId="22" fillId="2" borderId="0" xfId="14" applyFill="1" applyBorder="1"/>
    <xf numFmtId="0" fontId="23" fillId="2" borderId="0" xfId="8" applyFont="1" applyFill="1" applyAlignment="1">
      <alignment horizontal="right" vertical="center" wrapText="1"/>
    </xf>
    <xf numFmtId="167" fontId="7" fillId="2" borderId="0" xfId="12" applyNumberFormat="1" applyFont="1" applyFill="1" applyBorder="1" applyAlignment="1">
      <alignment horizontal="left" vertical="center" wrapText="1"/>
    </xf>
    <xf numFmtId="170" fontId="18" fillId="2" borderId="0" xfId="13" applyNumberFormat="1" applyFont="1" applyFill="1" applyBorder="1" applyAlignment="1">
      <alignment horizontal="right" vertical="center" wrapText="1"/>
    </xf>
    <xf numFmtId="0" fontId="19" fillId="2" borderId="0" xfId="8" applyFont="1" applyFill="1" applyAlignment="1">
      <alignment horizontal="left" vertical="center"/>
    </xf>
    <xf numFmtId="0" fontId="3" fillId="2" borderId="8" xfId="5" applyFill="1" applyBorder="1"/>
    <xf numFmtId="0" fontId="15" fillId="2" borderId="0" xfId="3" applyFont="1" applyFill="1" applyAlignment="1">
      <alignment horizontal="left" wrapText="1"/>
    </xf>
    <xf numFmtId="0" fontId="16" fillId="2" borderId="0" xfId="3" applyFont="1" applyFill="1" applyAlignment="1">
      <alignment horizontal="left" vertical="center" wrapText="1"/>
    </xf>
    <xf numFmtId="0" fontId="25" fillId="2" borderId="0" xfId="4" applyFont="1" applyFill="1" applyAlignment="1">
      <alignment vertical="center"/>
    </xf>
    <xf numFmtId="0" fontId="25" fillId="2" borderId="0" xfId="4" applyFont="1" applyFill="1" applyAlignment="1">
      <alignment horizontal="right" vertical="center"/>
    </xf>
    <xf numFmtId="0" fontId="7" fillId="2" borderId="0" xfId="11" applyFont="1" applyFill="1" applyAlignment="1">
      <alignment horizontal="left" vertical="center" wrapText="1"/>
    </xf>
    <xf numFmtId="0" fontId="0" fillId="5" borderId="0" xfId="0" applyFill="1"/>
    <xf numFmtId="0" fontId="25" fillId="2" borderId="0" xfId="4" applyFont="1" applyFill="1" applyAlignment="1">
      <alignment horizontal="right" vertical="center" indent="1"/>
    </xf>
    <xf numFmtId="0" fontId="27" fillId="2" borderId="0" xfId="0" applyFont="1" applyFill="1"/>
    <xf numFmtId="0" fontId="3" fillId="6" borderId="0" xfId="0" applyFont="1" applyFill="1" applyAlignment="1">
      <alignment wrapText="1"/>
    </xf>
    <xf numFmtId="0" fontId="7" fillId="2" borderId="0" xfId="8" applyFont="1" applyFill="1" applyAlignment="1">
      <alignment horizontal="left" vertical="center" indent="2"/>
    </xf>
    <xf numFmtId="3" fontId="0" fillId="2" borderId="0" xfId="0" applyNumberFormat="1" applyFill="1"/>
    <xf numFmtId="0" fontId="7" fillId="2" borderId="0" xfId="8" applyFont="1" applyFill="1" applyAlignment="1">
      <alignment vertical="center" wrapText="1"/>
    </xf>
    <xf numFmtId="171" fontId="18" fillId="2" borderId="0" xfId="1" applyNumberFormat="1" applyFont="1" applyFill="1" applyBorder="1" applyAlignment="1">
      <alignment horizontal="right" vertical="center" wrapText="1"/>
    </xf>
    <xf numFmtId="0" fontId="18" fillId="2" borderId="0" xfId="8" applyFont="1" applyFill="1" applyAlignment="1">
      <alignment vertical="center"/>
    </xf>
    <xf numFmtId="3" fontId="18" fillId="2" borderId="0" xfId="8" applyNumberFormat="1" applyFont="1" applyFill="1" applyAlignment="1">
      <alignment horizontal="right" vertical="center"/>
    </xf>
    <xf numFmtId="0" fontId="29" fillId="5" borderId="0" xfId="0" applyFont="1" applyFill="1"/>
    <xf numFmtId="0" fontId="7" fillId="2" borderId="0" xfId="6" applyFont="1" applyFill="1" applyBorder="1" applyAlignment="1">
      <alignment horizontal="left" vertical="center" wrapText="1"/>
    </xf>
    <xf numFmtId="0" fontId="8" fillId="5" borderId="0" xfId="9" applyFill="1"/>
    <xf numFmtId="0" fontId="31" fillId="5" borderId="0" xfId="4" applyFont="1" applyFill="1" applyAlignment="1">
      <alignment vertical="center"/>
    </xf>
    <xf numFmtId="0" fontId="31" fillId="5" borderId="0" xfId="4" applyFont="1" applyFill="1" applyAlignment="1">
      <alignment horizontal="left" vertical="center" wrapText="1"/>
    </xf>
    <xf numFmtId="0" fontId="24" fillId="5" borderId="0" xfId="0" applyFont="1" applyFill="1" applyAlignment="1">
      <alignment horizontal="center" vertical="center"/>
    </xf>
    <xf numFmtId="0" fontId="24" fillId="5" borderId="0" xfId="0" applyFont="1" applyFill="1"/>
    <xf numFmtId="167" fontId="0" fillId="2" borderId="0" xfId="0" applyNumberFormat="1" applyFill="1"/>
    <xf numFmtId="0" fontId="23" fillId="2" borderId="0" xfId="8" applyFont="1" applyFill="1" applyAlignment="1">
      <alignment horizontal="left" vertical="top" wrapText="1"/>
    </xf>
    <xf numFmtId="167" fontId="7" fillId="2" borderId="0" xfId="12" applyNumberFormat="1" applyFont="1" applyFill="1" applyAlignment="1">
      <alignment horizontal="left" vertical="center" wrapText="1"/>
    </xf>
    <xf numFmtId="170" fontId="18" fillId="2" borderId="0" xfId="13" applyNumberFormat="1" applyFont="1" applyFill="1" applyAlignment="1">
      <alignment horizontal="right" vertical="center" wrapText="1"/>
    </xf>
    <xf numFmtId="43" fontId="0" fillId="2" borderId="0" xfId="0" applyNumberFormat="1" applyFill="1"/>
    <xf numFmtId="0" fontId="7" fillId="2" borderId="0" xfId="8" applyFont="1" applyFill="1" applyAlignment="1">
      <alignment horizontal="left" vertical="center" wrapText="1"/>
    </xf>
    <xf numFmtId="0" fontId="19" fillId="2" borderId="0" xfId="8" applyFont="1" applyFill="1" applyAlignment="1">
      <alignment horizontal="left" vertical="center" wrapText="1"/>
    </xf>
    <xf numFmtId="0" fontId="28" fillId="2" borderId="0" xfId="5" applyFont="1" applyFill="1" applyAlignment="1">
      <alignment vertical="top" wrapText="1"/>
    </xf>
    <xf numFmtId="0" fontId="31" fillId="0" borderId="0" xfId="4" applyFont="1" applyAlignment="1">
      <alignment vertical="center"/>
    </xf>
    <xf numFmtId="0" fontId="30" fillId="2" borderId="0" xfId="8" applyFont="1" applyFill="1" applyAlignment="1">
      <alignment horizontal="left" vertical="center" wrapText="1"/>
    </xf>
    <xf numFmtId="0" fontId="34" fillId="2" borderId="0" xfId="9" applyFont="1" applyFill="1" applyBorder="1" applyAlignment="1">
      <alignment horizontal="left" vertical="center" wrapText="1"/>
    </xf>
    <xf numFmtId="0" fontId="34" fillId="5" borderId="2" xfId="8" applyFont="1" applyFill="1" applyBorder="1" applyAlignment="1">
      <alignment horizontal="left" vertical="center"/>
    </xf>
    <xf numFmtId="0" fontId="34" fillId="5" borderId="2" xfId="8" applyFont="1" applyFill="1" applyBorder="1" applyAlignment="1">
      <alignment horizontal="left" vertical="center" wrapText="1"/>
    </xf>
    <xf numFmtId="0" fontId="34" fillId="2" borderId="2" xfId="9" applyFont="1" applyFill="1" applyBorder="1" applyAlignment="1">
      <alignment horizontal="left" vertical="center" wrapText="1"/>
    </xf>
    <xf numFmtId="0" fontId="34" fillId="5" borderId="2" xfId="8" applyFont="1" applyFill="1" applyBorder="1" applyAlignment="1">
      <alignment horizontal="left" vertical="top" wrapText="1"/>
    </xf>
    <xf numFmtId="0" fontId="34" fillId="5" borderId="9" xfId="8" applyFont="1" applyFill="1" applyBorder="1" applyAlignment="1">
      <alignment horizontal="left" vertical="top" wrapText="1"/>
    </xf>
    <xf numFmtId="0" fontId="35" fillId="2" borderId="0" xfId="4" applyFont="1" applyFill="1" applyAlignment="1">
      <alignment horizontal="right" vertical="center" indent="1"/>
    </xf>
    <xf numFmtId="0" fontId="37" fillId="2" borderId="0" xfId="0" applyFont="1" applyFill="1"/>
    <xf numFmtId="0" fontId="34" fillId="2" borderId="9" xfId="9" applyFont="1" applyFill="1" applyBorder="1" applyAlignment="1">
      <alignment horizontal="left" vertical="center" wrapText="1"/>
    </xf>
    <xf numFmtId="0" fontId="38" fillId="2" borderId="0" xfId="4" applyFont="1" applyFill="1" applyAlignment="1">
      <alignment horizontal="right" vertical="center"/>
    </xf>
    <xf numFmtId="0" fontId="39" fillId="2" borderId="0" xfId="6" applyFont="1" applyFill="1" applyBorder="1" applyAlignment="1">
      <alignment horizontal="left" vertical="center" wrapText="1"/>
    </xf>
    <xf numFmtId="0" fontId="39" fillId="2" borderId="5" xfId="6" applyFont="1" applyFill="1" applyBorder="1" applyAlignment="1">
      <alignment horizontal="left" vertical="center" wrapText="1"/>
    </xf>
    <xf numFmtId="0" fontId="41" fillId="2" borderId="0" xfId="4" applyFont="1" applyFill="1" applyAlignment="1">
      <alignment vertical="center"/>
    </xf>
    <xf numFmtId="0" fontId="42" fillId="2" borderId="0" xfId="4" applyFont="1" applyFill="1" applyAlignment="1">
      <alignment vertical="center"/>
    </xf>
    <xf numFmtId="0" fontId="42" fillId="0" borderId="0" xfId="4" applyFont="1" applyAlignment="1">
      <alignment vertical="center"/>
    </xf>
    <xf numFmtId="0" fontId="39" fillId="2" borderId="4" xfId="8" applyFont="1" applyFill="1" applyBorder="1" applyAlignment="1">
      <alignment vertical="center"/>
    </xf>
    <xf numFmtId="173" fontId="39" fillId="2" borderId="4" xfId="8" applyNumberFormat="1" applyFont="1" applyFill="1" applyBorder="1" applyAlignment="1">
      <alignment horizontal="center" vertical="center"/>
    </xf>
    <xf numFmtId="0" fontId="40" fillId="2" borderId="3" xfId="8" applyFont="1" applyFill="1" applyBorder="1" applyAlignment="1">
      <alignment vertical="center"/>
    </xf>
    <xf numFmtId="0" fontId="41" fillId="0" borderId="0" xfId="4" applyFont="1" applyAlignment="1">
      <alignment vertical="center"/>
    </xf>
    <xf numFmtId="172" fontId="39" fillId="2" borderId="2" xfId="1" applyNumberFormat="1" applyFont="1" applyFill="1" applyBorder="1" applyAlignment="1">
      <alignment horizontal="right" vertical="center" wrapText="1"/>
    </xf>
    <xf numFmtId="0" fontId="43" fillId="2" borderId="0" xfId="6" applyFont="1" applyFill="1" applyBorder="1" applyAlignment="1">
      <alignment horizontal="left" vertical="top" wrapText="1"/>
    </xf>
    <xf numFmtId="0" fontId="37" fillId="4" borderId="13" xfId="0" applyFont="1" applyFill="1" applyBorder="1" applyAlignment="1">
      <alignment horizontal="left" vertical="top"/>
    </xf>
    <xf numFmtId="0" fontId="44" fillId="4" borderId="13" xfId="0" applyFont="1" applyFill="1" applyBorder="1" applyAlignment="1">
      <alignment horizontal="left" vertical="top" wrapText="1"/>
    </xf>
    <xf numFmtId="0" fontId="44" fillId="4" borderId="14" xfId="0" applyFont="1" applyFill="1" applyBorder="1" applyAlignment="1">
      <alignment horizontal="left" vertical="top" wrapText="1"/>
    </xf>
    <xf numFmtId="0" fontId="37" fillId="4" borderId="14" xfId="0" applyFont="1" applyFill="1" applyBorder="1" applyAlignment="1">
      <alignment horizontal="left" vertical="top"/>
    </xf>
    <xf numFmtId="0" fontId="45" fillId="2" borderId="0" xfId="0" applyFont="1" applyFill="1"/>
    <xf numFmtId="0" fontId="46" fillId="2" borderId="0" xfId="0" applyFont="1" applyFill="1"/>
    <xf numFmtId="0" fontId="47" fillId="2" borderId="0" xfId="4" applyFont="1" applyFill="1" applyAlignment="1">
      <alignment horizontal="right" vertical="center"/>
    </xf>
    <xf numFmtId="0" fontId="48" fillId="2" borderId="0" xfId="8" applyFont="1" applyFill="1" applyAlignment="1">
      <alignment horizontal="left" vertical="top" wrapText="1"/>
    </xf>
    <xf numFmtId="0" fontId="49" fillId="2" borderId="0" xfId="5" applyFont="1" applyFill="1"/>
    <xf numFmtId="0" fontId="50" fillId="2" borderId="0" xfId="0" applyFont="1" applyFill="1"/>
    <xf numFmtId="0" fontId="51" fillId="2" borderId="0" xfId="8" applyFont="1" applyFill="1" applyAlignment="1">
      <alignment horizontal="right" vertical="center" wrapText="1"/>
    </xf>
    <xf numFmtId="0" fontId="39" fillId="2" borderId="2" xfId="11" applyFont="1" applyFill="1" applyBorder="1" applyAlignment="1">
      <alignment horizontal="left" vertical="center" wrapText="1"/>
    </xf>
    <xf numFmtId="0" fontId="39" fillId="2" borderId="3" xfId="11" applyFont="1" applyFill="1" applyBorder="1" applyAlignment="1">
      <alignment horizontal="left" vertical="center" wrapText="1"/>
    </xf>
    <xf numFmtId="0" fontId="39" fillId="2" borderId="0" xfId="8" applyFont="1" applyFill="1" applyAlignment="1">
      <alignment vertical="center"/>
    </xf>
    <xf numFmtId="0" fontId="39" fillId="2" borderId="0" xfId="8" applyFont="1" applyFill="1" applyAlignment="1">
      <alignment vertical="center" wrapText="1"/>
    </xf>
    <xf numFmtId="0" fontId="53" fillId="2" borderId="0" xfId="5" applyFont="1" applyFill="1"/>
    <xf numFmtId="0" fontId="54" fillId="2" borderId="0" xfId="0" applyFont="1" applyFill="1"/>
    <xf numFmtId="0" fontId="55" fillId="2" borderId="0" xfId="4" applyFont="1" applyFill="1" applyAlignment="1">
      <alignment vertical="center"/>
    </xf>
    <xf numFmtId="0" fontId="52" fillId="2" borderId="0" xfId="8" applyFont="1" applyFill="1" applyAlignment="1">
      <alignment horizontal="right" vertical="center" wrapText="1"/>
    </xf>
    <xf numFmtId="0" fontId="39" fillId="2" borderId="5" xfId="6" applyFont="1" applyFill="1" applyBorder="1" applyAlignment="1">
      <alignment horizontal="left" vertical="center"/>
    </xf>
    <xf numFmtId="0" fontId="39" fillId="2" borderId="4" xfId="11" applyFont="1" applyFill="1" applyBorder="1" applyAlignment="1">
      <alignment horizontal="left" vertical="center" wrapText="1" indent="2"/>
    </xf>
    <xf numFmtId="0" fontId="39" fillId="2" borderId="4" xfId="11" applyFont="1" applyFill="1" applyBorder="1" applyAlignment="1">
      <alignment horizontal="left" vertical="center" wrapText="1"/>
    </xf>
    <xf numFmtId="0" fontId="52" fillId="2" borderId="0" xfId="8" applyFont="1" applyFill="1" applyAlignment="1">
      <alignment horizontal="left" vertical="center"/>
    </xf>
    <xf numFmtId="0" fontId="39" fillId="2" borderId="3" xfId="8" applyFont="1" applyFill="1" applyBorder="1" applyAlignment="1">
      <alignment vertical="center"/>
    </xf>
    <xf numFmtId="172" fontId="39" fillId="2" borderId="3" xfId="1" applyNumberFormat="1" applyFont="1" applyFill="1" applyBorder="1" applyAlignment="1">
      <alignment horizontal="right" vertical="center" wrapText="1"/>
    </xf>
    <xf numFmtId="0" fontId="40" fillId="2" borderId="0" xfId="11" applyFont="1" applyFill="1" applyAlignment="1">
      <alignment horizontal="right" vertical="center" wrapText="1"/>
    </xf>
    <xf numFmtId="168" fontId="39" fillId="2" borderId="0" xfId="12" applyNumberFormat="1" applyFont="1" applyFill="1" applyBorder="1" applyAlignment="1">
      <alignment horizontal="right" vertical="center"/>
    </xf>
    <xf numFmtId="171" fontId="39" fillId="2" borderId="0" xfId="1" applyNumberFormat="1" applyFont="1" applyFill="1" applyBorder="1" applyAlignment="1">
      <alignment horizontal="right" vertical="center" wrapText="1"/>
    </xf>
    <xf numFmtId="0" fontId="39" fillId="2" borderId="0" xfId="11" applyFont="1" applyFill="1" applyAlignment="1">
      <alignment horizontal="left" vertical="center"/>
    </xf>
    <xf numFmtId="0" fontId="39" fillId="2" borderId="2" xfId="0" applyFont="1" applyFill="1" applyBorder="1" applyAlignment="1">
      <alignment vertical="top" wrapText="1"/>
    </xf>
    <xf numFmtId="171" fontId="40" fillId="4" borderId="2" xfId="1" applyNumberFormat="1" applyFont="1" applyFill="1" applyBorder="1" applyAlignment="1">
      <alignment horizontal="right" vertical="top" wrapText="1"/>
    </xf>
    <xf numFmtId="0" fontId="39" fillId="2" borderId="4" xfId="0" applyFont="1" applyFill="1" applyBorder="1" applyAlignment="1">
      <alignment vertical="top" wrapText="1"/>
    </xf>
    <xf numFmtId="171" fontId="40" fillId="4" borderId="4" xfId="1" applyNumberFormat="1" applyFont="1" applyFill="1" applyBorder="1" applyAlignment="1">
      <alignment horizontal="right" vertical="top" wrapText="1"/>
    </xf>
    <xf numFmtId="0" fontId="39" fillId="2" borderId="9" xfId="0" applyFont="1" applyFill="1" applyBorder="1" applyAlignment="1">
      <alignment vertical="top" wrapText="1"/>
    </xf>
    <xf numFmtId="0" fontId="39" fillId="2" borderId="3" xfId="0" applyFont="1" applyFill="1" applyBorder="1" applyAlignment="1">
      <alignment vertical="top" wrapText="1"/>
    </xf>
    <xf numFmtId="171" fontId="40" fillId="2" borderId="5" xfId="1" applyNumberFormat="1" applyFont="1" applyFill="1" applyBorder="1" applyAlignment="1">
      <alignment horizontal="right" vertical="center" wrapText="1"/>
    </xf>
    <xf numFmtId="0" fontId="39" fillId="2" borderId="2" xfId="6" applyFont="1" applyFill="1" applyBorder="1" applyAlignment="1">
      <alignment horizontal="left" vertical="center"/>
    </xf>
    <xf numFmtId="170" fontId="39" fillId="2" borderId="3" xfId="11" applyNumberFormat="1" applyFont="1" applyFill="1" applyBorder="1" applyAlignment="1">
      <alignment horizontal="right" vertical="center" wrapText="1"/>
    </xf>
    <xf numFmtId="0" fontId="40" fillId="2" borderId="0" xfId="11" applyFont="1" applyFill="1" applyAlignment="1">
      <alignment horizontal="left" vertical="center" wrapText="1"/>
    </xf>
    <xf numFmtId="171" fontId="40" fillId="2" borderId="0" xfId="1" applyNumberFormat="1" applyFont="1" applyFill="1" applyBorder="1" applyAlignment="1">
      <alignment horizontal="right" vertical="center" wrapText="1"/>
    </xf>
    <xf numFmtId="0" fontId="39" fillId="2" borderId="2" xfId="8" applyFont="1" applyFill="1" applyBorder="1" applyAlignment="1">
      <alignment vertical="center"/>
    </xf>
    <xf numFmtId="1" fontId="39" fillId="2" borderId="2" xfId="8" applyNumberFormat="1" applyFont="1" applyFill="1" applyBorder="1" applyAlignment="1">
      <alignment horizontal="right" vertical="center"/>
    </xf>
    <xf numFmtId="0" fontId="39" fillId="2" borderId="4" xfId="13" applyNumberFormat="1" applyFont="1" applyFill="1" applyBorder="1" applyAlignment="1">
      <alignment horizontal="right" vertical="center"/>
    </xf>
    <xf numFmtId="0" fontId="39" fillId="2" borderId="0" xfId="8" applyFont="1" applyFill="1" applyAlignment="1">
      <alignment horizontal="left" vertical="center"/>
    </xf>
    <xf numFmtId="0" fontId="39" fillId="2" borderId="0" xfId="8" applyFont="1" applyFill="1" applyAlignment="1">
      <alignment horizontal="left" vertical="center" wrapText="1"/>
    </xf>
    <xf numFmtId="171" fontId="40" fillId="4" borderId="4" xfId="1" applyNumberFormat="1" applyFont="1" applyFill="1" applyBorder="1" applyAlignment="1">
      <alignment vertical="center"/>
    </xf>
    <xf numFmtId="0" fontId="58" fillId="2" borderId="2" xfId="8" applyFont="1" applyFill="1" applyBorder="1" applyAlignment="1">
      <alignment vertical="center"/>
    </xf>
    <xf numFmtId="164" fontId="59" fillId="2" borderId="2" xfId="9" applyNumberFormat="1" applyFont="1" applyFill="1" applyBorder="1" applyAlignment="1">
      <alignment horizontal="center" vertical="top"/>
    </xf>
    <xf numFmtId="0" fontId="58" fillId="2" borderId="4" xfId="8" applyFont="1" applyFill="1" applyBorder="1" applyAlignment="1">
      <alignment vertical="center"/>
    </xf>
    <xf numFmtId="0" fontId="58" fillId="2" borderId="3" xfId="8" applyFont="1" applyFill="1" applyBorder="1" applyAlignment="1">
      <alignment vertical="center"/>
    </xf>
    <xf numFmtId="164" fontId="59" fillId="2" borderId="3" xfId="9" applyNumberFormat="1" applyFont="1" applyFill="1" applyBorder="1" applyAlignment="1">
      <alignment horizontal="center" vertical="center"/>
    </xf>
    <xf numFmtId="0" fontId="43" fillId="2" borderId="0" xfId="8" applyFont="1" applyFill="1" applyAlignment="1">
      <alignment vertical="center"/>
    </xf>
    <xf numFmtId="0" fontId="60" fillId="2" borderId="0" xfId="9" applyFont="1" applyFill="1" applyBorder="1" applyAlignment="1">
      <alignment horizontal="center" vertical="center"/>
    </xf>
    <xf numFmtId="0" fontId="61" fillId="0" borderId="0" xfId="0" applyFont="1" applyAlignment="1">
      <alignment vertical="center"/>
    </xf>
    <xf numFmtId="171" fontId="39" fillId="4" borderId="4" xfId="21" applyNumberFormat="1" applyFont="1" applyFill="1" applyBorder="1" applyAlignment="1">
      <alignment horizontal="right" vertical="center" wrapText="1"/>
    </xf>
    <xf numFmtId="167" fontId="39" fillId="2" borderId="2" xfId="21" applyNumberFormat="1" applyFont="1" applyFill="1" applyBorder="1" applyAlignment="1">
      <alignment horizontal="right" vertical="center" wrapText="1"/>
    </xf>
    <xf numFmtId="171" fontId="39" fillId="2" borderId="2" xfId="21" applyNumberFormat="1" applyFont="1" applyFill="1" applyBorder="1" applyAlignment="1">
      <alignment horizontal="right" vertical="center" wrapText="1"/>
    </xf>
    <xf numFmtId="171" fontId="39" fillId="4" borderId="2" xfId="21" applyNumberFormat="1" applyFont="1" applyFill="1" applyBorder="1" applyAlignment="1">
      <alignment horizontal="right" vertical="center" wrapText="1"/>
    </xf>
    <xf numFmtId="171" fontId="39" fillId="2" borderId="4" xfId="21" applyNumberFormat="1" applyFont="1" applyFill="1" applyBorder="1" applyAlignment="1">
      <alignment horizontal="right" vertical="center" wrapText="1"/>
    </xf>
    <xf numFmtId="0" fontId="39" fillId="2" borderId="9" xfId="11" applyFont="1" applyFill="1" applyBorder="1" applyAlignment="1">
      <alignment horizontal="left" vertical="center" wrapText="1"/>
    </xf>
    <xf numFmtId="171" fontId="40" fillId="2" borderId="5" xfId="21" applyNumberFormat="1" applyFont="1" applyFill="1" applyBorder="1" applyAlignment="1">
      <alignment horizontal="right" vertical="center" wrapText="1"/>
    </xf>
    <xf numFmtId="170" fontId="7" fillId="2" borderId="3" xfId="11" applyNumberFormat="1" applyFont="1" applyFill="1" applyBorder="1" applyAlignment="1">
      <alignment horizontal="right" vertical="center" wrapText="1"/>
    </xf>
    <xf numFmtId="43" fontId="23" fillId="2" borderId="0" xfId="8" applyNumberFormat="1" applyFont="1" applyFill="1" applyAlignment="1">
      <alignment horizontal="left" vertical="top" wrapText="1"/>
    </xf>
    <xf numFmtId="0" fontId="39" fillId="2" borderId="4" xfId="6" applyFont="1" applyFill="1" applyBorder="1" applyAlignment="1">
      <alignment horizontal="left" vertical="center" wrapText="1"/>
    </xf>
    <xf numFmtId="164" fontId="57" fillId="2" borderId="2" xfId="9" applyNumberFormat="1" applyFont="1" applyFill="1" applyBorder="1" applyAlignment="1">
      <alignment horizontal="center" vertical="top"/>
    </xf>
    <xf numFmtId="164" fontId="57" fillId="2" borderId="3" xfId="9" applyNumberFormat="1" applyFont="1" applyFill="1" applyBorder="1" applyAlignment="1">
      <alignment horizontal="center" vertical="center"/>
    </xf>
    <xf numFmtId="164" fontId="59" fillId="2" borderId="2" xfId="9" applyNumberFormat="1" applyFont="1" applyFill="1" applyBorder="1" applyAlignment="1">
      <alignment horizontal="center" vertical="center"/>
    </xf>
    <xf numFmtId="0" fontId="34" fillId="2" borderId="9" xfId="9" applyFont="1" applyFill="1" applyBorder="1" applyAlignment="1">
      <alignment horizontal="left" vertical="top"/>
    </xf>
    <xf numFmtId="0" fontId="34" fillId="5" borderId="0" xfId="8" applyFont="1" applyFill="1" applyAlignment="1">
      <alignment horizontal="left" vertical="top" wrapText="1"/>
    </xf>
    <xf numFmtId="0" fontId="12" fillId="8" borderId="0" xfId="6" applyFont="1" applyFill="1" applyBorder="1" applyAlignment="1">
      <alignment horizontal="left" vertical="center"/>
    </xf>
    <xf numFmtId="0" fontId="12" fillId="8" borderId="0" xfId="7" applyFont="1" applyFill="1" applyBorder="1" applyAlignment="1">
      <alignment horizontal="center" vertical="center"/>
    </xf>
    <xf numFmtId="0" fontId="12" fillId="9" borderId="0" xfId="6" applyFont="1" applyFill="1" applyBorder="1" applyAlignment="1">
      <alignment horizontal="left" vertical="center"/>
    </xf>
    <xf numFmtId="0" fontId="12" fillId="9" borderId="0" xfId="6" applyFont="1" applyFill="1" applyBorder="1" applyAlignment="1">
      <alignment horizontal="right" vertical="center"/>
    </xf>
    <xf numFmtId="0" fontId="5" fillId="9" borderId="0" xfId="6" applyFont="1" applyFill="1" applyBorder="1" applyAlignment="1">
      <alignment horizontal="right" vertical="center"/>
    </xf>
    <xf numFmtId="0" fontId="12" fillId="9" borderId="0" xfId="6" applyFont="1" applyFill="1" applyBorder="1" applyAlignment="1">
      <alignment horizontal="center" vertical="center"/>
    </xf>
    <xf numFmtId="165" fontId="39" fillId="2" borderId="2" xfId="1" applyFont="1" applyFill="1" applyBorder="1" applyAlignment="1">
      <alignment vertical="center" wrapText="1"/>
    </xf>
    <xf numFmtId="165" fontId="39" fillId="2" borderId="2" xfId="1" applyFont="1" applyFill="1" applyBorder="1" applyAlignment="1">
      <alignment horizontal="center" vertical="center" wrapText="1"/>
    </xf>
    <xf numFmtId="2" fontId="39" fillId="2" borderId="2" xfId="11" applyNumberFormat="1" applyFont="1" applyFill="1" applyBorder="1" applyAlignment="1">
      <alignment horizontal="center" vertical="center" wrapText="1"/>
    </xf>
    <xf numFmtId="0" fontId="12" fillId="9" borderId="24" xfId="6" applyFont="1" applyFill="1" applyBorder="1" applyAlignment="1">
      <alignment horizontal="center" vertical="center"/>
    </xf>
    <xf numFmtId="0" fontId="5" fillId="9" borderId="25" xfId="6" applyFont="1" applyFill="1" applyBorder="1" applyAlignment="1">
      <alignment horizontal="center" vertical="center"/>
    </xf>
    <xf numFmtId="0" fontId="64" fillId="2" borderId="0" xfId="8" applyFont="1" applyFill="1" applyAlignment="1">
      <alignment horizontal="left" vertical="center"/>
    </xf>
    <xf numFmtId="0" fontId="12" fillId="9" borderId="0" xfId="6" applyFont="1" applyFill="1" applyBorder="1" applyAlignment="1">
      <alignment horizontal="left" vertical="center" wrapText="1"/>
    </xf>
    <xf numFmtId="0" fontId="12" fillId="9" borderId="25" xfId="6" applyFont="1" applyFill="1" applyBorder="1" applyAlignment="1">
      <alignment horizontal="center" vertical="center"/>
    </xf>
    <xf numFmtId="165" fontId="40" fillId="0" borderId="2" xfId="1" applyFont="1" applyFill="1" applyBorder="1" applyAlignment="1">
      <alignment horizontal="center" vertical="center" wrapText="1"/>
    </xf>
    <xf numFmtId="171" fontId="39" fillId="0" borderId="2" xfId="1" applyNumberFormat="1" applyFont="1" applyFill="1" applyBorder="1" applyAlignment="1">
      <alignment horizontal="center" vertical="center" wrapText="1"/>
    </xf>
    <xf numFmtId="171" fontId="39" fillId="0" borderId="2" xfId="1" applyNumberFormat="1" applyFont="1" applyFill="1" applyBorder="1" applyAlignment="1">
      <alignment vertical="center" wrapText="1"/>
    </xf>
    <xf numFmtId="171" fontId="40" fillId="2" borderId="2" xfId="1" applyNumberFormat="1" applyFont="1" applyFill="1" applyBorder="1" applyAlignment="1">
      <alignment horizontal="center" vertical="center" wrapText="1"/>
    </xf>
    <xf numFmtId="0" fontId="12" fillId="9" borderId="28" xfId="6" applyFont="1" applyFill="1" applyBorder="1" applyAlignment="1">
      <alignment horizontal="center" vertical="center"/>
    </xf>
    <xf numFmtId="0" fontId="39" fillId="2" borderId="4" xfId="8" applyFont="1" applyFill="1" applyBorder="1" applyAlignment="1">
      <alignment vertical="center" wrapText="1"/>
    </xf>
    <xf numFmtId="0" fontId="39" fillId="2" borderId="2" xfId="8" applyFont="1" applyFill="1" applyBorder="1" applyAlignment="1">
      <alignment vertical="center" wrapText="1"/>
    </xf>
    <xf numFmtId="165" fontId="40" fillId="2" borderId="2" xfId="1" applyFont="1" applyFill="1" applyBorder="1" applyAlignment="1">
      <alignment horizontal="center" vertical="center" wrapText="1"/>
    </xf>
    <xf numFmtId="171" fontId="39" fillId="2" borderId="4" xfId="1" applyNumberFormat="1" applyFont="1" applyFill="1" applyBorder="1" applyAlignment="1">
      <alignment horizontal="center" vertical="center"/>
    </xf>
    <xf numFmtId="171" fontId="39" fillId="2" borderId="0" xfId="1" applyNumberFormat="1" applyFont="1" applyFill="1" applyAlignment="1">
      <alignment horizontal="center" vertical="center"/>
    </xf>
    <xf numFmtId="0" fontId="28" fillId="2" borderId="0" xfId="0" applyFont="1" applyFill="1"/>
    <xf numFmtId="165" fontId="44" fillId="4" borderId="13" xfId="1" applyFont="1" applyFill="1" applyBorder="1" applyAlignment="1">
      <alignment vertical="top" wrapText="1"/>
    </xf>
    <xf numFmtId="165" fontId="44" fillId="4" borderId="12" xfId="1" applyFont="1" applyFill="1" applyBorder="1" applyAlignment="1">
      <alignment vertical="top" wrapText="1"/>
    </xf>
    <xf numFmtId="0" fontId="12" fillId="9" borderId="0" xfId="6" applyFont="1" applyFill="1" applyBorder="1" applyAlignment="1">
      <alignment horizontal="left" vertical="top" wrapText="1"/>
    </xf>
    <xf numFmtId="171" fontId="40" fillId="2" borderId="2" xfId="1" applyNumberFormat="1" applyFont="1" applyFill="1" applyBorder="1" applyAlignment="1">
      <alignment horizontal="right" vertical="center" wrapText="1" indent="1"/>
    </xf>
    <xf numFmtId="171" fontId="39" fillId="2" borderId="2" xfId="1" applyNumberFormat="1" applyFont="1" applyFill="1" applyBorder="1" applyAlignment="1">
      <alignment horizontal="right" vertical="center" wrapText="1" indent="1"/>
    </xf>
    <xf numFmtId="9" fontId="40" fillId="2" borderId="2" xfId="2" applyFont="1" applyFill="1" applyBorder="1" applyAlignment="1">
      <alignment horizontal="right" vertical="center" wrapText="1" indent="1"/>
    </xf>
    <xf numFmtId="9" fontId="39" fillId="2" borderId="2" xfId="2" applyFont="1" applyFill="1" applyBorder="1" applyAlignment="1">
      <alignment horizontal="right" vertical="center" wrapText="1" indent="1"/>
    </xf>
    <xf numFmtId="2" fontId="40" fillId="2" borderId="2" xfId="11" applyNumberFormat="1" applyFont="1" applyFill="1" applyBorder="1" applyAlignment="1">
      <alignment horizontal="right" vertical="center" wrapText="1" indent="1"/>
    </xf>
    <xf numFmtId="2" fontId="39" fillId="2" borderId="2" xfId="1" applyNumberFormat="1" applyFont="1" applyFill="1" applyBorder="1" applyAlignment="1">
      <alignment horizontal="right" vertical="center" wrapText="1" indent="1"/>
    </xf>
    <xf numFmtId="2" fontId="40" fillId="2" borderId="3" xfId="11" applyNumberFormat="1" applyFont="1" applyFill="1" applyBorder="1" applyAlignment="1">
      <alignment horizontal="right" vertical="center" wrapText="1" indent="1"/>
    </xf>
    <xf numFmtId="165" fontId="39" fillId="2" borderId="2" xfId="1" applyFont="1" applyFill="1" applyBorder="1" applyAlignment="1">
      <alignment horizontal="right" vertical="center" wrapText="1" indent="1"/>
    </xf>
    <xf numFmtId="172" fontId="39" fillId="2" borderId="2" xfId="1" applyNumberFormat="1" applyFont="1" applyFill="1" applyBorder="1" applyAlignment="1">
      <alignment horizontal="right" vertical="center" wrapText="1" indent="1"/>
    </xf>
    <xf numFmtId="172" fontId="39" fillId="2" borderId="0" xfId="1" applyNumberFormat="1" applyFont="1" applyFill="1" applyBorder="1" applyAlignment="1">
      <alignment horizontal="right" vertical="center" wrapText="1"/>
    </xf>
    <xf numFmtId="172" fontId="39" fillId="2" borderId="10" xfId="1" applyNumberFormat="1" applyFont="1" applyFill="1" applyBorder="1" applyAlignment="1">
      <alignment horizontal="right" vertical="center" wrapText="1"/>
    </xf>
    <xf numFmtId="0" fontId="39" fillId="2" borderId="2" xfId="8" quotePrefix="1" applyFont="1" applyFill="1" applyBorder="1" applyAlignment="1">
      <alignment vertical="center"/>
    </xf>
    <xf numFmtId="0" fontId="39" fillId="2" borderId="3" xfId="8" quotePrefix="1" applyFont="1" applyFill="1" applyBorder="1" applyAlignment="1">
      <alignment vertical="center"/>
    </xf>
    <xf numFmtId="172" fontId="39" fillId="2" borderId="4" xfId="1" applyNumberFormat="1" applyFont="1" applyFill="1" applyBorder="1" applyAlignment="1">
      <alignment horizontal="right" vertical="center" wrapText="1"/>
    </xf>
    <xf numFmtId="0" fontId="39" fillId="2" borderId="2" xfId="8" quotePrefix="1" applyFont="1" applyFill="1" applyBorder="1" applyAlignment="1">
      <alignment horizontal="left" vertical="center" indent="2"/>
    </xf>
    <xf numFmtId="0" fontId="39" fillId="2" borderId="0" xfId="8" quotePrefix="1" applyFont="1" applyFill="1" applyAlignment="1">
      <alignment horizontal="left" vertical="center" indent="2"/>
    </xf>
    <xf numFmtId="0" fontId="39" fillId="2" borderId="4" xfId="8" quotePrefix="1" applyFont="1" applyFill="1" applyBorder="1" applyAlignment="1">
      <alignment horizontal="left" vertical="center" indent="2"/>
    </xf>
    <xf numFmtId="0" fontId="39" fillId="2" borderId="0" xfId="11" applyFont="1" applyFill="1" applyAlignment="1">
      <alignment vertical="center" wrapText="1"/>
    </xf>
    <xf numFmtId="171" fontId="39" fillId="2" borderId="4" xfId="1" applyNumberFormat="1" applyFont="1" applyFill="1" applyBorder="1" applyAlignment="1">
      <alignment horizontal="right" vertical="center" wrapText="1"/>
    </xf>
    <xf numFmtId="171" fontId="39" fillId="0" borderId="3" xfId="1" applyNumberFormat="1" applyFont="1" applyFill="1" applyBorder="1" applyAlignment="1">
      <alignment horizontal="center" vertical="center" wrapText="1"/>
    </xf>
    <xf numFmtId="171" fontId="40" fillId="0" borderId="2" xfId="1" applyNumberFormat="1" applyFont="1" applyFill="1" applyBorder="1" applyAlignment="1">
      <alignment horizontal="center" vertical="center" wrapText="1"/>
    </xf>
    <xf numFmtId="0" fontId="28" fillId="0" borderId="0" xfId="0" applyFont="1"/>
    <xf numFmtId="171" fontId="39" fillId="0" borderId="2" xfId="1" applyNumberFormat="1" applyFont="1" applyFill="1" applyBorder="1" applyAlignment="1">
      <alignment horizontal="left" vertical="center" wrapText="1"/>
    </xf>
    <xf numFmtId="0" fontId="39" fillId="2" borderId="2" xfId="8" applyFont="1" applyFill="1" applyBorder="1" applyAlignment="1">
      <alignment horizontal="left" vertical="center"/>
    </xf>
    <xf numFmtId="1" fontId="39" fillId="2" borderId="2" xfId="2" applyNumberFormat="1" applyFont="1" applyFill="1" applyBorder="1" applyAlignment="1">
      <alignment horizontal="right" vertical="center" wrapText="1" indent="1"/>
    </xf>
    <xf numFmtId="2" fontId="39" fillId="2" borderId="2" xfId="11" applyNumberFormat="1" applyFont="1" applyFill="1" applyBorder="1" applyAlignment="1">
      <alignment horizontal="right" vertical="center" wrapText="1" indent="1"/>
    </xf>
    <xf numFmtId="165" fontId="39" fillId="2" borderId="4" xfId="1" applyFont="1" applyFill="1" applyBorder="1" applyAlignment="1">
      <alignment horizontal="right" vertical="center" wrapText="1" indent="1"/>
    </xf>
    <xf numFmtId="174" fontId="39" fillId="2" borderId="2" xfId="1" applyNumberFormat="1" applyFont="1" applyFill="1" applyBorder="1" applyAlignment="1">
      <alignment horizontal="right" vertical="center" wrapText="1" indent="1"/>
    </xf>
    <xf numFmtId="0" fontId="12" fillId="10" borderId="0" xfId="6" applyFont="1" applyFill="1" applyBorder="1" applyAlignment="1">
      <alignment horizontal="center" vertical="center"/>
    </xf>
    <xf numFmtId="0" fontId="39" fillId="2" borderId="4" xfId="11" applyFont="1" applyFill="1" applyBorder="1" applyAlignment="1">
      <alignment vertical="center" wrapText="1"/>
    </xf>
    <xf numFmtId="9" fontId="39" fillId="2" borderId="4" xfId="2" applyFont="1" applyFill="1" applyBorder="1" applyAlignment="1">
      <alignment horizontal="right" vertical="center"/>
    </xf>
    <xf numFmtId="0" fontId="0" fillId="0" borderId="0" xfId="0" applyAlignment="1">
      <alignment horizontal="center"/>
    </xf>
    <xf numFmtId="9" fontId="39" fillId="2" borderId="4" xfId="13" applyFont="1" applyFill="1" applyBorder="1" applyAlignment="1">
      <alignment horizontal="right" vertical="center"/>
    </xf>
    <xf numFmtId="1" fontId="39" fillId="2" borderId="4" xfId="2" applyNumberFormat="1" applyFont="1" applyFill="1" applyBorder="1" applyAlignment="1">
      <alignment horizontal="right" vertical="center"/>
    </xf>
    <xf numFmtId="170" fontId="39" fillId="2" borderId="20" xfId="13" applyNumberFormat="1" applyFont="1" applyFill="1" applyBorder="1" applyAlignment="1">
      <alignment horizontal="right" vertical="center" wrapText="1"/>
    </xf>
    <xf numFmtId="170" fontId="39" fillId="2" borderId="21" xfId="13" applyNumberFormat="1" applyFont="1" applyFill="1" applyBorder="1" applyAlignment="1">
      <alignment horizontal="right" vertical="center" wrapText="1"/>
    </xf>
    <xf numFmtId="1" fontId="39" fillId="2" borderId="18" xfId="13" applyNumberFormat="1" applyFont="1" applyFill="1" applyBorder="1" applyAlignment="1">
      <alignment horizontal="right" vertical="center" wrapText="1"/>
    </xf>
    <xf numFmtId="1" fontId="39" fillId="2" borderId="19" xfId="13" applyNumberFormat="1" applyFont="1" applyFill="1" applyBorder="1" applyAlignment="1">
      <alignment horizontal="right" vertical="center" wrapText="1"/>
    </xf>
    <xf numFmtId="1" fontId="39" fillId="7" borderId="18" xfId="13" applyNumberFormat="1" applyFont="1" applyFill="1" applyBorder="1" applyAlignment="1">
      <alignment horizontal="right" vertical="center" wrapText="1"/>
    </xf>
    <xf numFmtId="1" fontId="39" fillId="7" borderId="19" xfId="13" applyNumberFormat="1" applyFont="1" applyFill="1" applyBorder="1" applyAlignment="1">
      <alignment horizontal="right" vertical="center" wrapText="1"/>
    </xf>
    <xf numFmtId="170" fontId="39" fillId="7" borderId="20" xfId="13" applyNumberFormat="1" applyFont="1" applyFill="1" applyBorder="1" applyAlignment="1">
      <alignment horizontal="right" vertical="center" wrapText="1"/>
    </xf>
    <xf numFmtId="170" fontId="39" fillId="7" borderId="21" xfId="13" applyNumberFormat="1" applyFont="1" applyFill="1" applyBorder="1" applyAlignment="1">
      <alignment horizontal="right" vertical="center" wrapText="1"/>
    </xf>
    <xf numFmtId="0" fontId="12" fillId="9" borderId="7" xfId="7" applyFont="1" applyFill="1" applyBorder="1" applyAlignment="1">
      <alignment horizontal="center" vertical="center"/>
    </xf>
    <xf numFmtId="0" fontId="12" fillId="9" borderId="0" xfId="7" applyFont="1" applyFill="1" applyBorder="1" applyAlignment="1">
      <alignment horizontal="center" vertical="center"/>
    </xf>
    <xf numFmtId="1" fontId="39" fillId="0" borderId="18" xfId="13" applyNumberFormat="1" applyFont="1" applyFill="1" applyBorder="1" applyAlignment="1">
      <alignment horizontal="right" vertical="center" wrapText="1"/>
    </xf>
    <xf numFmtId="1" fontId="39" fillId="0" borderId="19" xfId="13" applyNumberFormat="1" applyFont="1" applyFill="1" applyBorder="1" applyAlignment="1">
      <alignment horizontal="right" vertical="center" wrapText="1"/>
    </xf>
    <xf numFmtId="1" fontId="39" fillId="0" borderId="17" xfId="13" applyNumberFormat="1" applyFont="1" applyFill="1" applyBorder="1" applyAlignment="1">
      <alignment horizontal="right" vertical="center" wrapText="1"/>
    </xf>
    <xf numFmtId="170" fontId="39" fillId="0" borderId="29" xfId="13" applyNumberFormat="1" applyFont="1" applyFill="1" applyBorder="1" applyAlignment="1">
      <alignment horizontal="right" vertical="center" wrapText="1"/>
    </xf>
    <xf numFmtId="1" fontId="39" fillId="0" borderId="29" xfId="13" applyNumberFormat="1" applyFont="1" applyFill="1" applyBorder="1" applyAlignment="1">
      <alignment horizontal="right" vertical="center" wrapText="1"/>
    </xf>
    <xf numFmtId="9" fontId="39" fillId="2" borderId="2" xfId="2" applyFont="1" applyFill="1" applyBorder="1" applyAlignment="1">
      <alignment horizontal="right" vertical="center" wrapText="1"/>
    </xf>
    <xf numFmtId="9" fontId="7" fillId="2" borderId="2" xfId="2" applyFont="1" applyFill="1" applyBorder="1" applyAlignment="1">
      <alignment horizontal="right" vertical="center" wrapText="1"/>
    </xf>
    <xf numFmtId="0" fontId="12" fillId="9" borderId="0" xfId="6" applyFont="1" applyFill="1" applyBorder="1" applyAlignment="1">
      <alignment horizontal="center" vertical="center" wrapText="1"/>
    </xf>
    <xf numFmtId="9" fontId="39" fillId="2" borderId="4" xfId="2" applyFont="1" applyFill="1" applyBorder="1" applyAlignment="1">
      <alignment horizontal="right" vertical="center" wrapText="1"/>
    </xf>
    <xf numFmtId="9" fontId="39" fillId="2" borderId="4" xfId="2" applyFont="1" applyFill="1" applyBorder="1" applyAlignment="1">
      <alignment vertical="center" wrapText="1"/>
    </xf>
    <xf numFmtId="1" fontId="39" fillId="2" borderId="2" xfId="2" applyNumberFormat="1" applyFont="1" applyFill="1" applyBorder="1" applyAlignment="1">
      <alignment vertical="center" wrapText="1"/>
    </xf>
    <xf numFmtId="9" fontId="39" fillId="2" borderId="9" xfId="2" applyFont="1" applyFill="1" applyBorder="1" applyAlignment="1">
      <alignment vertical="center" wrapText="1"/>
    </xf>
    <xf numFmtId="171" fontId="39" fillId="2" borderId="4" xfId="1" applyNumberFormat="1" applyFont="1" applyFill="1" applyBorder="1" applyAlignment="1">
      <alignment vertical="center" wrapText="1"/>
    </xf>
    <xf numFmtId="170" fontId="39" fillId="2" borderId="3" xfId="11" applyNumberFormat="1" applyFont="1" applyFill="1" applyBorder="1" applyAlignment="1">
      <alignment vertical="center" wrapText="1"/>
    </xf>
    <xf numFmtId="170" fontId="39" fillId="2" borderId="9" xfId="2" applyNumberFormat="1" applyFont="1" applyFill="1" applyBorder="1" applyAlignment="1">
      <alignment vertical="center" wrapText="1"/>
    </xf>
    <xf numFmtId="171" fontId="62" fillId="12" borderId="4" xfId="1" applyNumberFormat="1" applyFont="1" applyFill="1" applyBorder="1" applyAlignment="1">
      <alignment horizontal="right" vertical="center" wrapText="1"/>
    </xf>
    <xf numFmtId="171" fontId="62" fillId="12" borderId="2" xfId="1" applyNumberFormat="1" applyFont="1" applyFill="1" applyBorder="1" applyAlignment="1">
      <alignment horizontal="right" vertical="center" wrapText="1"/>
    </xf>
    <xf numFmtId="170" fontId="62" fillId="12" borderId="3" xfId="11" applyNumberFormat="1" applyFont="1" applyFill="1" applyBorder="1" applyAlignment="1">
      <alignment horizontal="right" vertical="center" wrapText="1"/>
    </xf>
    <xf numFmtId="1" fontId="39" fillId="12" borderId="18" xfId="13" applyNumberFormat="1" applyFont="1" applyFill="1" applyBorder="1" applyAlignment="1">
      <alignment horizontal="right" vertical="center" wrapText="1"/>
    </xf>
    <xf numFmtId="1" fontId="39" fillId="12" borderId="19" xfId="13" applyNumberFormat="1" applyFont="1" applyFill="1" applyBorder="1" applyAlignment="1">
      <alignment horizontal="right" vertical="center" wrapText="1"/>
    </xf>
    <xf numFmtId="170" fontId="39" fillId="12" borderId="20" xfId="13" applyNumberFormat="1" applyFont="1" applyFill="1" applyBorder="1" applyAlignment="1">
      <alignment horizontal="right" vertical="center" wrapText="1"/>
    </xf>
    <xf numFmtId="170" fontId="39" fillId="12" borderId="21" xfId="13" applyNumberFormat="1" applyFont="1" applyFill="1" applyBorder="1" applyAlignment="1">
      <alignment horizontal="right" vertical="center" wrapText="1"/>
    </xf>
    <xf numFmtId="1" fontId="39" fillId="12" borderId="2" xfId="8" applyNumberFormat="1" applyFont="1" applyFill="1" applyBorder="1" applyAlignment="1">
      <alignment horizontal="right" vertical="center"/>
    </xf>
    <xf numFmtId="0" fontId="39" fillId="12" borderId="4" xfId="13" applyNumberFormat="1" applyFont="1" applyFill="1" applyBorder="1" applyAlignment="1">
      <alignment horizontal="right" vertical="center"/>
    </xf>
    <xf numFmtId="9" fontId="39" fillId="12" borderId="4" xfId="2" applyFont="1" applyFill="1" applyBorder="1" applyAlignment="1">
      <alignment horizontal="right" vertical="center"/>
    </xf>
    <xf numFmtId="9" fontId="39" fillId="2" borderId="18" xfId="2" applyFont="1" applyFill="1" applyBorder="1" applyAlignment="1">
      <alignment horizontal="right" vertical="center" wrapText="1"/>
    </xf>
    <xf numFmtId="9" fontId="39" fillId="2" borderId="19" xfId="2" applyFont="1" applyFill="1" applyBorder="1" applyAlignment="1">
      <alignment horizontal="right" vertical="center" wrapText="1"/>
    </xf>
    <xf numFmtId="0" fontId="39" fillId="2" borderId="3" xfId="8" applyFont="1" applyFill="1" applyBorder="1" applyAlignment="1">
      <alignment vertical="center" wrapText="1"/>
    </xf>
    <xf numFmtId="9" fontId="39" fillId="2" borderId="32" xfId="2" applyFont="1" applyFill="1" applyBorder="1" applyAlignment="1">
      <alignment horizontal="right" vertical="center" wrapText="1"/>
    </xf>
    <xf numFmtId="9" fontId="39" fillId="2" borderId="31" xfId="2" applyFont="1" applyFill="1" applyBorder="1" applyAlignment="1">
      <alignment horizontal="right" vertical="center" wrapText="1"/>
    </xf>
    <xf numFmtId="171" fontId="62" fillId="12" borderId="3" xfId="1" applyNumberFormat="1" applyFont="1" applyFill="1" applyBorder="1" applyAlignment="1">
      <alignment horizontal="right" vertical="center" wrapText="1"/>
    </xf>
    <xf numFmtId="1" fontId="39" fillId="2" borderId="3" xfId="2" applyNumberFormat="1" applyFont="1" applyFill="1" applyBorder="1" applyAlignment="1">
      <alignment vertical="center" wrapText="1"/>
    </xf>
    <xf numFmtId="172" fontId="40" fillId="12" borderId="2" xfId="1" applyNumberFormat="1" applyFont="1" applyFill="1" applyBorder="1" applyAlignment="1">
      <alignment horizontal="right" vertical="center" wrapText="1"/>
    </xf>
    <xf numFmtId="0" fontId="39" fillId="2" borderId="3" xfId="6" applyFont="1" applyFill="1" applyBorder="1" applyAlignment="1">
      <alignment horizontal="left" vertical="center"/>
    </xf>
    <xf numFmtId="165" fontId="39" fillId="2" borderId="3" xfId="1" applyFont="1" applyFill="1" applyBorder="1" applyAlignment="1">
      <alignment horizontal="right" vertical="center" wrapText="1"/>
    </xf>
    <xf numFmtId="49" fontId="39" fillId="2" borderId="2" xfId="1" applyNumberFormat="1" applyFont="1" applyFill="1" applyBorder="1" applyAlignment="1">
      <alignment horizontal="center" vertical="center" wrapText="1"/>
    </xf>
    <xf numFmtId="49" fontId="39" fillId="2" borderId="3" xfId="1" applyNumberFormat="1" applyFont="1" applyFill="1" applyBorder="1" applyAlignment="1">
      <alignment horizontal="center" vertical="center" wrapText="1"/>
    </xf>
    <xf numFmtId="170" fontId="40" fillId="12" borderId="2" xfId="11" applyNumberFormat="1" applyFont="1" applyFill="1" applyBorder="1" applyAlignment="1">
      <alignment horizontal="center" vertical="center" wrapText="1"/>
    </xf>
    <xf numFmtId="171" fontId="40" fillId="12" borderId="4" xfId="21" applyNumberFormat="1" applyFont="1" applyFill="1" applyBorder="1" applyAlignment="1">
      <alignment horizontal="right" vertical="center" wrapText="1"/>
    </xf>
    <xf numFmtId="0" fontId="39" fillId="13" borderId="2" xfId="0" applyFont="1" applyFill="1" applyBorder="1" applyAlignment="1">
      <alignment vertical="top" wrapText="1"/>
    </xf>
    <xf numFmtId="0" fontId="39" fillId="13" borderId="4" xfId="0" applyFont="1" applyFill="1" applyBorder="1" applyAlignment="1">
      <alignment vertical="top" wrapText="1"/>
    </xf>
    <xf numFmtId="0" fontId="39" fillId="13" borderId="9" xfId="0" applyFont="1" applyFill="1" applyBorder="1" applyAlignment="1">
      <alignment vertical="top" wrapText="1"/>
    </xf>
    <xf numFmtId="0" fontId="39" fillId="13" borderId="3" xfId="0" applyFont="1" applyFill="1" applyBorder="1" applyAlignment="1">
      <alignment vertical="top" wrapText="1"/>
    </xf>
    <xf numFmtId="0" fontId="33" fillId="9" borderId="0" xfId="6" applyFont="1" applyFill="1" applyBorder="1" applyAlignment="1">
      <alignment horizontal="left" vertical="center" wrapText="1"/>
    </xf>
    <xf numFmtId="0" fontId="33" fillId="9" borderId="0" xfId="6" applyFont="1" applyFill="1" applyBorder="1" applyAlignment="1">
      <alignment horizontal="left" vertical="center"/>
    </xf>
    <xf numFmtId="0" fontId="8" fillId="0" borderId="2" xfId="9" applyFill="1" applyBorder="1" applyAlignment="1">
      <alignment horizontal="left" vertical="center"/>
    </xf>
    <xf numFmtId="0" fontId="34" fillId="5" borderId="0" xfId="8" applyFont="1" applyFill="1" applyAlignment="1">
      <alignment horizontal="left" vertical="center"/>
    </xf>
    <xf numFmtId="0" fontId="34" fillId="5" borderId="0" xfId="8" applyFont="1" applyFill="1" applyAlignment="1">
      <alignment horizontal="left" vertical="center" wrapText="1"/>
    </xf>
    <xf numFmtId="0" fontId="34" fillId="2" borderId="4" xfId="9" applyFont="1" applyFill="1" applyBorder="1" applyAlignment="1">
      <alignment horizontal="left" vertical="top"/>
    </xf>
    <xf numFmtId="0" fontId="34" fillId="2" borderId="4" xfId="9" applyFont="1" applyFill="1" applyBorder="1" applyAlignment="1">
      <alignment horizontal="left" vertical="center" wrapText="1"/>
    </xf>
    <xf numFmtId="0" fontId="34" fillId="5" borderId="9" xfId="8" applyFont="1" applyFill="1" applyBorder="1" applyAlignment="1">
      <alignment horizontal="left" vertical="center"/>
    </xf>
    <xf numFmtId="0" fontId="34" fillId="5" borderId="9" xfId="8" applyFont="1" applyFill="1" applyBorder="1" applyAlignment="1">
      <alignment horizontal="left" vertical="center" wrapText="1"/>
    </xf>
    <xf numFmtId="0" fontId="34" fillId="0" borderId="2" xfId="9" applyFont="1" applyFill="1" applyBorder="1" applyAlignment="1">
      <alignment horizontal="left" vertical="center" wrapText="1"/>
    </xf>
    <xf numFmtId="0" fontId="11" fillId="2" borderId="0" xfId="4" applyFont="1" applyFill="1" applyAlignment="1">
      <alignment vertical="center"/>
    </xf>
    <xf numFmtId="0" fontId="11" fillId="2" borderId="0" xfId="9" applyFont="1" applyFill="1" applyBorder="1" applyAlignment="1">
      <alignment horizontal="left" vertical="center" wrapText="1"/>
    </xf>
    <xf numFmtId="9" fontId="39" fillId="4" borderId="4" xfId="2" applyFont="1" applyFill="1" applyBorder="1" applyAlignment="1">
      <alignment horizontal="right" vertical="center" wrapText="1"/>
    </xf>
    <xf numFmtId="0" fontId="58" fillId="2" borderId="4" xfId="9" applyFont="1" applyFill="1" applyBorder="1" applyAlignment="1">
      <alignment horizontal="right" vertical="center" wrapText="1"/>
    </xf>
    <xf numFmtId="0" fontId="8" fillId="5" borderId="2" xfId="9" applyFill="1" applyBorder="1" applyAlignment="1">
      <alignment horizontal="left" vertical="center" wrapText="1"/>
    </xf>
    <xf numFmtId="0" fontId="34" fillId="0" borderId="2" xfId="9" applyFont="1" applyFill="1" applyBorder="1" applyAlignment="1">
      <alignment horizontal="left" vertical="top"/>
    </xf>
    <xf numFmtId="0" fontId="34" fillId="0" borderId="2" xfId="8" applyFont="1" applyBorder="1" applyAlignment="1">
      <alignment horizontal="left" vertical="center"/>
    </xf>
    <xf numFmtId="0" fontId="34" fillId="0" borderId="2" xfId="8" applyFont="1" applyBorder="1" applyAlignment="1">
      <alignment horizontal="left" vertical="center" wrapText="1"/>
    </xf>
    <xf numFmtId="0" fontId="34" fillId="5" borderId="4" xfId="8" applyFont="1" applyFill="1" applyBorder="1" applyAlignment="1">
      <alignment horizontal="left" vertical="top"/>
    </xf>
    <xf numFmtId="0" fontId="34" fillId="5" borderId="4" xfId="8" applyFont="1" applyFill="1" applyBorder="1" applyAlignment="1">
      <alignment horizontal="left" vertical="top" wrapText="1"/>
    </xf>
    <xf numFmtId="0" fontId="34" fillId="5" borderId="4" xfId="8" applyFont="1" applyFill="1" applyBorder="1" applyAlignment="1">
      <alignment horizontal="left" vertical="center" wrapText="1"/>
    </xf>
    <xf numFmtId="0" fontId="34" fillId="0" borderId="2" xfId="9" applyFont="1" applyFill="1" applyBorder="1"/>
    <xf numFmtId="0" fontId="8" fillId="0" borderId="2" xfId="9" applyFill="1" applyBorder="1"/>
    <xf numFmtId="165" fontId="44" fillId="4" borderId="14" xfId="1" applyFont="1" applyFill="1" applyBorder="1" applyAlignment="1">
      <alignment horizontal="left" vertical="top" wrapText="1"/>
    </xf>
    <xf numFmtId="165" fontId="39" fillId="2" borderId="5" xfId="1" applyFont="1" applyFill="1" applyBorder="1" applyAlignment="1">
      <alignment horizontal="center" vertical="center" wrapText="1"/>
    </xf>
    <xf numFmtId="173" fontId="39" fillId="2" borderId="3" xfId="8" applyNumberFormat="1" applyFont="1" applyFill="1" applyBorder="1" applyAlignment="1">
      <alignment horizontal="center" vertical="center"/>
    </xf>
    <xf numFmtId="171" fontId="39" fillId="2" borderId="3" xfId="1" applyNumberFormat="1" applyFont="1" applyFill="1" applyBorder="1" applyAlignment="1">
      <alignment horizontal="center" vertical="center"/>
    </xf>
    <xf numFmtId="173" fontId="39" fillId="12" borderId="4" xfId="8" applyNumberFormat="1" applyFont="1" applyFill="1" applyBorder="1" applyAlignment="1">
      <alignment horizontal="center" vertical="center"/>
    </xf>
    <xf numFmtId="173" fontId="39" fillId="12" borderId="0" xfId="8" applyNumberFormat="1" applyFont="1" applyFill="1" applyAlignment="1">
      <alignment horizontal="center" vertical="center"/>
    </xf>
    <xf numFmtId="173" fontId="39" fillId="12" borderId="3" xfId="8" applyNumberFormat="1" applyFont="1" applyFill="1" applyBorder="1" applyAlignment="1">
      <alignment horizontal="center" vertical="center"/>
    </xf>
    <xf numFmtId="171" fontId="40" fillId="12" borderId="2" xfId="1" applyNumberFormat="1" applyFont="1" applyFill="1" applyBorder="1" applyAlignment="1">
      <alignment horizontal="center" vertical="center" wrapText="1"/>
    </xf>
    <xf numFmtId="1" fontId="39" fillId="2" borderId="3" xfId="1" applyNumberFormat="1" applyFont="1" applyFill="1" applyBorder="1" applyAlignment="1">
      <alignment horizontal="right" vertical="center" wrapText="1" indent="1"/>
    </xf>
    <xf numFmtId="1" fontId="40" fillId="2" borderId="3" xfId="11" applyNumberFormat="1" applyFont="1" applyFill="1" applyBorder="1" applyAlignment="1">
      <alignment horizontal="right" vertical="center" wrapText="1" indent="1"/>
    </xf>
    <xf numFmtId="171" fontId="40" fillId="2" borderId="4" xfId="1" applyNumberFormat="1" applyFont="1" applyFill="1" applyBorder="1" applyAlignment="1">
      <alignment horizontal="right" vertical="center" wrapText="1" indent="1"/>
    </xf>
    <xf numFmtId="171" fontId="39" fillId="2" borderId="4" xfId="1" applyNumberFormat="1" applyFont="1" applyFill="1" applyBorder="1" applyAlignment="1">
      <alignment horizontal="right" vertical="center" wrapText="1" indent="1"/>
    </xf>
    <xf numFmtId="165" fontId="40" fillId="2" borderId="3" xfId="1" applyFont="1" applyFill="1" applyBorder="1" applyAlignment="1">
      <alignment horizontal="right" vertical="center" wrapText="1" indent="1"/>
    </xf>
    <xf numFmtId="165" fontId="39" fillId="2" borderId="3" xfId="1" applyFont="1" applyFill="1" applyBorder="1" applyAlignment="1">
      <alignment horizontal="right" vertical="center" wrapText="1" indent="1"/>
    </xf>
    <xf numFmtId="1" fontId="39" fillId="12" borderId="4" xfId="2" applyNumberFormat="1" applyFont="1" applyFill="1" applyBorder="1" applyAlignment="1">
      <alignment horizontal="right" vertical="center"/>
    </xf>
    <xf numFmtId="2" fontId="39" fillId="12" borderId="20" xfId="13" applyNumberFormat="1" applyFont="1" applyFill="1" applyBorder="1" applyAlignment="1">
      <alignment horizontal="right" vertical="center" wrapText="1"/>
    </xf>
    <xf numFmtId="171" fontId="39" fillId="12" borderId="18" xfId="1" applyNumberFormat="1" applyFont="1" applyFill="1" applyBorder="1" applyAlignment="1">
      <alignment horizontal="right" vertical="center" wrapText="1"/>
    </xf>
    <xf numFmtId="9" fontId="62" fillId="12" borderId="2" xfId="2" applyFont="1" applyFill="1" applyBorder="1" applyAlignment="1">
      <alignment horizontal="right" vertical="center" wrapText="1"/>
    </xf>
    <xf numFmtId="9" fontId="62" fillId="12" borderId="3" xfId="11" applyNumberFormat="1" applyFont="1" applyFill="1" applyBorder="1" applyAlignment="1">
      <alignment horizontal="right" vertical="center" wrapText="1"/>
    </xf>
    <xf numFmtId="9" fontId="62" fillId="12" borderId="9" xfId="2" applyFont="1" applyFill="1" applyBorder="1" applyAlignment="1">
      <alignment horizontal="right" vertical="center" wrapText="1"/>
    </xf>
    <xf numFmtId="9" fontId="39" fillId="12" borderId="32" xfId="2" applyFont="1" applyFill="1" applyBorder="1" applyAlignment="1">
      <alignment horizontal="right" vertical="center" wrapText="1"/>
    </xf>
    <xf numFmtId="9" fontId="39" fillId="12" borderId="31" xfId="2" applyFont="1" applyFill="1" applyBorder="1" applyAlignment="1">
      <alignment horizontal="right" vertical="center" wrapText="1"/>
    </xf>
    <xf numFmtId="171" fontId="40" fillId="12" borderId="2" xfId="1" applyNumberFormat="1" applyFont="1" applyFill="1" applyBorder="1" applyAlignment="1">
      <alignment horizontal="right" vertical="center" wrapText="1"/>
    </xf>
    <xf numFmtId="171" fontId="40" fillId="12" borderId="3" xfId="1" applyNumberFormat="1" applyFont="1" applyFill="1" applyBorder="1" applyAlignment="1">
      <alignment horizontal="right" vertical="center" wrapText="1"/>
    </xf>
    <xf numFmtId="9" fontId="0" fillId="0" borderId="0" xfId="2" applyFont="1"/>
    <xf numFmtId="1" fontId="0" fillId="0" borderId="0" xfId="0" applyNumberFormat="1"/>
    <xf numFmtId="2" fontId="40" fillId="12" borderId="2" xfId="11" applyNumberFormat="1" applyFont="1" applyFill="1" applyBorder="1" applyAlignment="1">
      <alignment horizontal="center" vertical="center" wrapText="1"/>
    </xf>
    <xf numFmtId="0" fontId="40" fillId="12" borderId="2" xfId="11" applyFont="1" applyFill="1" applyBorder="1" applyAlignment="1">
      <alignment horizontal="center" vertical="center" wrapText="1"/>
    </xf>
    <xf numFmtId="0" fontId="40" fillId="12" borderId="2" xfId="2" applyNumberFormat="1" applyFont="1" applyFill="1" applyBorder="1" applyAlignment="1">
      <alignment horizontal="center" vertical="center" wrapText="1"/>
    </xf>
    <xf numFmtId="3" fontId="40" fillId="12" borderId="2" xfId="11" applyNumberFormat="1" applyFont="1" applyFill="1" applyBorder="1" applyAlignment="1">
      <alignment horizontal="center" vertical="center" wrapText="1"/>
    </xf>
    <xf numFmtId="9" fontId="40" fillId="12" borderId="2" xfId="2" applyFont="1" applyFill="1" applyBorder="1" applyAlignment="1">
      <alignment horizontal="center" vertical="center" wrapText="1"/>
    </xf>
    <xf numFmtId="0" fontId="0" fillId="0" borderId="0" xfId="0" applyAlignment="1">
      <alignment horizontal="right"/>
    </xf>
    <xf numFmtId="169" fontId="40" fillId="12" borderId="2" xfId="2" applyNumberFormat="1" applyFont="1" applyFill="1" applyBorder="1" applyAlignment="1">
      <alignment horizontal="right" vertical="center" wrapText="1"/>
    </xf>
    <xf numFmtId="0" fontId="39" fillId="0" borderId="4" xfId="8" applyFont="1" applyBorder="1" applyAlignment="1">
      <alignment vertical="center" wrapText="1"/>
    </xf>
    <xf numFmtId="172" fontId="40" fillId="12" borderId="4" xfId="21" applyNumberFormat="1" applyFont="1" applyFill="1" applyBorder="1" applyAlignment="1">
      <alignment horizontal="right" vertical="center" wrapText="1"/>
    </xf>
    <xf numFmtId="172" fontId="40" fillId="12" borderId="3" xfId="21" applyNumberFormat="1" applyFont="1" applyFill="1" applyBorder="1" applyAlignment="1">
      <alignment horizontal="right" vertical="center" wrapText="1"/>
    </xf>
    <xf numFmtId="171" fontId="0" fillId="2" borderId="0" xfId="0" applyNumberFormat="1" applyFill="1"/>
    <xf numFmtId="9" fontId="40" fillId="12" borderId="4" xfId="2" applyFont="1" applyFill="1" applyBorder="1" applyAlignment="1">
      <alignment horizontal="right" vertical="center" wrapText="1"/>
    </xf>
    <xf numFmtId="0" fontId="39" fillId="0" borderId="4" xfId="11" applyFont="1" applyBorder="1" applyAlignment="1">
      <alignment horizontal="left" vertical="center" wrapText="1" indent="2"/>
    </xf>
    <xf numFmtId="0" fontId="52" fillId="0" borderId="0" xfId="8" applyFont="1" applyAlignment="1">
      <alignment horizontal="left" vertical="center"/>
    </xf>
    <xf numFmtId="165" fontId="40" fillId="12" borderId="2" xfId="1" applyFont="1" applyFill="1" applyBorder="1" applyAlignment="1">
      <alignment horizontal="center" vertical="center" wrapText="1"/>
    </xf>
    <xf numFmtId="172" fontId="40" fillId="12" borderId="2" xfId="11" applyNumberFormat="1" applyFont="1" applyFill="1" applyBorder="1" applyAlignment="1">
      <alignment horizontal="center" vertical="center" wrapText="1"/>
    </xf>
    <xf numFmtId="9" fontId="40" fillId="12" borderId="2" xfId="11" applyNumberFormat="1" applyFont="1" applyFill="1" applyBorder="1" applyAlignment="1">
      <alignment horizontal="center" vertical="center" wrapText="1"/>
    </xf>
    <xf numFmtId="9" fontId="39" fillId="0" borderId="2" xfId="2" applyFont="1" applyFill="1" applyBorder="1" applyAlignment="1">
      <alignment horizontal="center" vertical="center" wrapText="1"/>
    </xf>
    <xf numFmtId="165" fontId="40" fillId="12" borderId="3" xfId="21" applyNumberFormat="1" applyFont="1" applyFill="1" applyBorder="1" applyAlignment="1">
      <alignment horizontal="right" vertical="center" wrapText="1"/>
    </xf>
    <xf numFmtId="0" fontId="58" fillId="2" borderId="33" xfId="8" applyFont="1" applyFill="1" applyBorder="1" applyAlignment="1">
      <alignment vertical="center"/>
    </xf>
    <xf numFmtId="164" fontId="57" fillId="2" borderId="33" xfId="9" applyNumberFormat="1" applyFont="1" applyFill="1" applyBorder="1" applyAlignment="1">
      <alignment horizontal="center" vertical="top"/>
    </xf>
    <xf numFmtId="164" fontId="57" fillId="2" borderId="34" xfId="9" applyNumberFormat="1" applyFont="1" applyFill="1" applyBorder="1" applyAlignment="1">
      <alignment horizontal="center" vertical="top"/>
    </xf>
    <xf numFmtId="171" fontId="39" fillId="0" borderId="2" xfId="1" applyNumberFormat="1" applyFont="1" applyFill="1" applyBorder="1" applyAlignment="1">
      <alignment horizontal="right" vertical="center" wrapText="1" indent="1"/>
    </xf>
    <xf numFmtId="165" fontId="39" fillId="0" borderId="2" xfId="1" applyFont="1" applyFill="1" applyBorder="1" applyAlignment="1">
      <alignment horizontal="right" vertical="center" wrapText="1" indent="1"/>
    </xf>
    <xf numFmtId="165" fontId="40" fillId="12" borderId="2" xfId="11" applyNumberFormat="1" applyFont="1" applyFill="1" applyBorder="1" applyAlignment="1">
      <alignment horizontal="center" vertical="center" wrapText="1"/>
    </xf>
    <xf numFmtId="171" fontId="40" fillId="14" borderId="2" xfId="1" applyNumberFormat="1" applyFont="1" applyFill="1" applyBorder="1" applyAlignment="1">
      <alignment horizontal="center" vertical="center" wrapText="1"/>
    </xf>
    <xf numFmtId="2" fontId="40" fillId="14" borderId="2" xfId="11" applyNumberFormat="1" applyFont="1" applyFill="1" applyBorder="1" applyAlignment="1">
      <alignment horizontal="center" vertical="center" wrapText="1"/>
    </xf>
    <xf numFmtId="171" fontId="0" fillId="0" borderId="0" xfId="0" applyNumberFormat="1"/>
    <xf numFmtId="171" fontId="34" fillId="2" borderId="0" xfId="9" applyNumberFormat="1" applyFont="1" applyFill="1" applyBorder="1" applyAlignment="1">
      <alignment horizontal="left" vertical="center" wrapText="1"/>
    </xf>
    <xf numFmtId="165" fontId="0" fillId="2" borderId="0" xfId="0" applyNumberFormat="1" applyFill="1"/>
    <xf numFmtId="9" fontId="0" fillId="2" borderId="0" xfId="2" applyFont="1" applyFill="1"/>
    <xf numFmtId="165" fontId="40" fillId="2" borderId="2" xfId="1" applyFont="1" applyFill="1" applyBorder="1" applyAlignment="1">
      <alignment horizontal="right" vertical="center" wrapText="1" indent="1"/>
    </xf>
    <xf numFmtId="171" fontId="39" fillId="12" borderId="2" xfId="1" applyNumberFormat="1" applyFont="1" applyFill="1" applyBorder="1" applyAlignment="1">
      <alignment horizontal="right" vertical="center" wrapText="1" indent="1"/>
    </xf>
    <xf numFmtId="9" fontId="39" fillId="12" borderId="2" xfId="2" applyFont="1" applyFill="1" applyBorder="1" applyAlignment="1">
      <alignment horizontal="right" vertical="center" wrapText="1" indent="1"/>
    </xf>
    <xf numFmtId="2" fontId="40" fillId="12" borderId="2" xfId="11" applyNumberFormat="1" applyFont="1" applyFill="1" applyBorder="1" applyAlignment="1">
      <alignment horizontal="right" vertical="center" wrapText="1" indent="1"/>
    </xf>
    <xf numFmtId="0" fontId="39" fillId="0" borderId="3" xfId="8" applyFont="1" applyBorder="1" applyAlignment="1">
      <alignment vertical="center" wrapText="1"/>
    </xf>
    <xf numFmtId="171" fontId="39" fillId="12" borderId="3" xfId="1" applyNumberFormat="1" applyFont="1" applyFill="1" applyBorder="1" applyAlignment="1">
      <alignment horizontal="right" vertical="center" wrapText="1" indent="1"/>
    </xf>
    <xf numFmtId="165" fontId="40" fillId="12" borderId="3" xfId="1" applyFont="1" applyFill="1" applyBorder="1" applyAlignment="1">
      <alignment horizontal="center" vertical="center" wrapText="1"/>
    </xf>
    <xf numFmtId="0" fontId="39" fillId="0" borderId="2" xfId="8" applyFont="1" applyBorder="1" applyAlignment="1">
      <alignment vertical="center" wrapText="1"/>
    </xf>
    <xf numFmtId="0" fontId="43" fillId="0" borderId="0" xfId="6" applyFont="1" applyBorder="1" applyAlignment="1">
      <alignment horizontal="left" vertical="top" wrapText="1"/>
    </xf>
    <xf numFmtId="0" fontId="0" fillId="0" borderId="0" xfId="0" applyAlignment="1">
      <alignment vertical="center"/>
    </xf>
    <xf numFmtId="0" fontId="11" fillId="0" borderId="0" xfId="9" applyFont="1" applyFill="1" applyBorder="1" applyAlignment="1">
      <alignment horizontal="left" vertical="center" wrapText="1"/>
    </xf>
    <xf numFmtId="10" fontId="40" fillId="12" borderId="4" xfId="2" applyNumberFormat="1" applyFont="1" applyFill="1" applyBorder="1" applyAlignment="1">
      <alignment horizontal="right" vertical="center" wrapText="1"/>
    </xf>
    <xf numFmtId="165" fontId="40" fillId="12" borderId="4" xfId="21" applyNumberFormat="1" applyFont="1" applyFill="1" applyBorder="1" applyAlignment="1">
      <alignment horizontal="right" vertical="center" wrapText="1"/>
    </xf>
    <xf numFmtId="0" fontId="39" fillId="0" borderId="0" xfId="6" applyFont="1" applyBorder="1" applyAlignment="1">
      <alignment horizontal="left" vertical="center" wrapText="1"/>
    </xf>
    <xf numFmtId="171" fontId="40" fillId="12" borderId="0" xfId="1" applyNumberFormat="1" applyFont="1" applyFill="1" applyBorder="1" applyAlignment="1">
      <alignment horizontal="center" vertical="center" wrapText="1"/>
    </xf>
    <xf numFmtId="0" fontId="39" fillId="0" borderId="5" xfId="6" applyFont="1" applyBorder="1" applyAlignment="1">
      <alignment horizontal="left" vertical="center" wrapText="1"/>
    </xf>
    <xf numFmtId="0" fontId="0" fillId="0" borderId="0" xfId="0" applyAlignment="1">
      <alignment horizontal="left"/>
    </xf>
    <xf numFmtId="0" fontId="39" fillId="0" borderId="6" xfId="6" applyFont="1" applyBorder="1" applyAlignment="1">
      <alignment vertical="center" wrapText="1"/>
    </xf>
    <xf numFmtId="165" fontId="40" fillId="12" borderId="5" xfId="1" applyFont="1" applyFill="1" applyBorder="1" applyAlignment="1">
      <alignment horizontal="center" vertical="center" wrapText="1"/>
    </xf>
    <xf numFmtId="171" fontId="40" fillId="12" borderId="2" xfId="1" applyNumberFormat="1" applyFont="1" applyFill="1" applyBorder="1" applyAlignment="1">
      <alignment vertical="center" wrapText="1"/>
    </xf>
    <xf numFmtId="9" fontId="40" fillId="12" borderId="2" xfId="2" applyFont="1" applyFill="1" applyBorder="1" applyAlignment="1">
      <alignment vertical="center" wrapText="1"/>
    </xf>
    <xf numFmtId="10" fontId="40" fillId="12" borderId="2" xfId="2" applyNumberFormat="1" applyFont="1" applyFill="1" applyBorder="1" applyAlignment="1">
      <alignment vertical="center" wrapText="1"/>
    </xf>
    <xf numFmtId="0" fontId="39" fillId="2" borderId="1" xfId="6" applyFont="1" applyFill="1" applyAlignment="1">
      <alignment horizontal="left" vertical="center" wrapText="1"/>
    </xf>
    <xf numFmtId="171" fontId="40" fillId="12" borderId="35" xfId="1" applyNumberFormat="1" applyFont="1" applyFill="1" applyBorder="1" applyAlignment="1">
      <alignment horizontal="center" vertical="center" wrapText="1"/>
    </xf>
    <xf numFmtId="171" fontId="39" fillId="2" borderId="35" xfId="21" applyNumberFormat="1" applyFont="1" applyFill="1" applyBorder="1" applyAlignment="1">
      <alignment horizontal="right" vertical="center" wrapText="1"/>
    </xf>
    <xf numFmtId="0" fontId="43" fillId="2" borderId="5" xfId="6" applyFont="1" applyFill="1" applyBorder="1" applyAlignment="1">
      <alignment horizontal="left" vertical="top" wrapText="1"/>
    </xf>
    <xf numFmtId="0" fontId="71" fillId="5" borderId="2" xfId="0" quotePrefix="1" applyFont="1" applyFill="1" applyBorder="1" applyAlignment="1">
      <alignment vertical="center" wrapText="1"/>
    </xf>
    <xf numFmtId="0" fontId="72" fillId="0" borderId="0" xfId="0" applyFont="1"/>
    <xf numFmtId="172" fontId="40" fillId="12" borderId="0" xfId="1" applyNumberFormat="1" applyFont="1" applyFill="1" applyBorder="1" applyAlignment="1">
      <alignment horizontal="right" vertical="center" wrapText="1"/>
    </xf>
    <xf numFmtId="172" fontId="40" fillId="12" borderId="4" xfId="1" applyNumberFormat="1" applyFont="1" applyFill="1" applyBorder="1" applyAlignment="1">
      <alignment horizontal="right" vertical="center" wrapText="1"/>
    </xf>
    <xf numFmtId="172" fontId="40" fillId="12" borderId="3" xfId="1" applyNumberFormat="1" applyFont="1" applyFill="1" applyBorder="1" applyAlignment="1">
      <alignment horizontal="right" vertical="center" wrapText="1"/>
    </xf>
    <xf numFmtId="165" fontId="40" fillId="4" borderId="2" xfId="1" applyFont="1" applyFill="1" applyBorder="1" applyAlignment="1">
      <alignment horizontal="center" vertical="center" wrapText="1"/>
    </xf>
    <xf numFmtId="172" fontId="40" fillId="4" borderId="5" xfId="1" applyNumberFormat="1" applyFont="1" applyFill="1" applyBorder="1" applyAlignment="1">
      <alignment vertical="center"/>
    </xf>
    <xf numFmtId="172" fontId="39" fillId="2" borderId="5" xfId="1" applyNumberFormat="1" applyFont="1" applyFill="1" applyBorder="1" applyAlignment="1">
      <alignment horizontal="right" vertical="center" wrapText="1"/>
    </xf>
    <xf numFmtId="3" fontId="39" fillId="12" borderId="0" xfId="8" applyNumberFormat="1" applyFont="1" applyFill="1" applyAlignment="1">
      <alignment horizontal="center" vertical="center"/>
    </xf>
    <xf numFmtId="3" fontId="39" fillId="12" borderId="4" xfId="8" applyNumberFormat="1" applyFont="1" applyFill="1" applyBorder="1" applyAlignment="1">
      <alignment horizontal="center" vertical="center"/>
    </xf>
    <xf numFmtId="0" fontId="39" fillId="0" borderId="4" xfId="8" applyFont="1" applyBorder="1" applyAlignment="1">
      <alignment vertical="center"/>
    </xf>
    <xf numFmtId="0" fontId="18" fillId="0" borderId="0" xfId="8" applyFont="1" applyAlignment="1">
      <alignment vertical="center"/>
    </xf>
    <xf numFmtId="165" fontId="39" fillId="0" borderId="2" xfId="1" applyFont="1" applyFill="1" applyBorder="1" applyAlignment="1">
      <alignment horizontal="center" vertical="center" wrapText="1"/>
    </xf>
    <xf numFmtId="0" fontId="15" fillId="0" borderId="0" xfId="3" applyFont="1" applyAlignment="1">
      <alignment horizontal="left" vertical="center" wrapText="1"/>
    </xf>
    <xf numFmtId="0" fontId="8" fillId="0" borderId="0" xfId="9" applyFill="1" applyAlignment="1">
      <alignment horizontal="left" vertical="center" wrapText="1"/>
    </xf>
    <xf numFmtId="0" fontId="34" fillId="0" borderId="0" xfId="8" applyFont="1" applyAlignment="1">
      <alignment horizontal="left" vertical="center" wrapText="1"/>
    </xf>
    <xf numFmtId="172" fontId="39" fillId="14" borderId="2" xfId="1" applyNumberFormat="1" applyFont="1" applyFill="1" applyBorder="1" applyAlignment="1">
      <alignment horizontal="right" vertical="center" wrapText="1" indent="1"/>
    </xf>
    <xf numFmtId="0" fontId="39" fillId="2" borderId="9" xfId="8" applyFont="1" applyFill="1" applyBorder="1" applyAlignment="1">
      <alignment vertical="center" wrapText="1"/>
    </xf>
    <xf numFmtId="171" fontId="40" fillId="12" borderId="9" xfId="21" applyNumberFormat="1" applyFont="1" applyFill="1" applyBorder="1" applyAlignment="1">
      <alignment horizontal="right" vertical="center" wrapText="1"/>
    </xf>
    <xf numFmtId="171" fontId="39" fillId="15" borderId="9" xfId="21" applyNumberFormat="1" applyFont="1" applyFill="1" applyBorder="1" applyAlignment="1">
      <alignment horizontal="right" vertical="center" wrapText="1"/>
    </xf>
    <xf numFmtId="0" fontId="58" fillId="2" borderId="4" xfId="11" applyFont="1" applyFill="1" applyBorder="1" applyAlignment="1">
      <alignment horizontal="left" vertical="center" wrapText="1"/>
    </xf>
    <xf numFmtId="0" fontId="58" fillId="0" borderId="2" xfId="8" applyFont="1" applyBorder="1" applyAlignment="1">
      <alignment vertical="center"/>
    </xf>
    <xf numFmtId="0" fontId="58" fillId="2" borderId="3" xfId="11" applyFont="1" applyFill="1" applyBorder="1" applyAlignment="1">
      <alignment horizontal="left" vertical="center" wrapText="1"/>
    </xf>
    <xf numFmtId="0" fontId="74" fillId="5" borderId="2" xfId="8" applyFont="1" applyFill="1" applyBorder="1" applyAlignment="1">
      <alignment horizontal="left" vertical="center" wrapText="1"/>
    </xf>
    <xf numFmtId="0" fontId="40" fillId="12" borderId="0" xfId="6" applyFont="1" applyFill="1" applyBorder="1" applyAlignment="1">
      <alignment horizontal="left" vertical="center" wrapText="1"/>
    </xf>
    <xf numFmtId="0" fontId="63" fillId="11" borderId="22" xfId="4" applyFont="1" applyFill="1" applyBorder="1" applyAlignment="1">
      <alignment horizontal="center" vertical="center"/>
    </xf>
    <xf numFmtId="0" fontId="63" fillId="11" borderId="23" xfId="4" applyFont="1" applyFill="1" applyBorder="1" applyAlignment="1">
      <alignment horizontal="center" vertical="center"/>
    </xf>
    <xf numFmtId="0" fontId="39" fillId="2" borderId="6" xfId="5" applyFont="1" applyFill="1" applyBorder="1" applyAlignment="1">
      <alignment horizontal="left" vertical="top" wrapText="1"/>
    </xf>
    <xf numFmtId="0" fontId="63" fillId="11" borderId="27" xfId="4" applyFont="1" applyFill="1" applyBorder="1" applyAlignment="1">
      <alignment horizontal="center" vertical="center"/>
    </xf>
    <xf numFmtId="0" fontId="63" fillId="11" borderId="26" xfId="4" applyFont="1" applyFill="1" applyBorder="1" applyAlignment="1">
      <alignment horizontal="center" vertical="center"/>
    </xf>
    <xf numFmtId="0" fontId="63" fillId="11" borderId="0" xfId="4" applyFont="1" applyFill="1" applyAlignment="1">
      <alignment horizontal="center" vertical="center"/>
    </xf>
    <xf numFmtId="0" fontId="39" fillId="2" borderId="0" xfId="8" applyFont="1" applyFill="1" applyAlignment="1">
      <alignment horizontal="left" vertical="center" wrapText="1"/>
    </xf>
    <xf numFmtId="0" fontId="39" fillId="2" borderId="0" xfId="8" applyFont="1" applyFill="1" applyAlignment="1">
      <alignment horizontal="left" vertical="top" wrapText="1"/>
    </xf>
    <xf numFmtId="0" fontId="12" fillId="9" borderId="0" xfId="6" applyFont="1" applyFill="1" applyBorder="1" applyAlignment="1">
      <alignment horizontal="center" vertical="center"/>
    </xf>
    <xf numFmtId="0" fontId="67" fillId="11" borderId="0" xfId="0" applyFont="1" applyFill="1" applyAlignment="1">
      <alignment horizontal="center"/>
    </xf>
    <xf numFmtId="0" fontId="26" fillId="2" borderId="0" xfId="4" applyFont="1" applyFill="1" applyAlignment="1">
      <alignment horizontal="center" vertical="center"/>
    </xf>
    <xf numFmtId="0" fontId="39" fillId="2" borderId="6" xfId="11" applyFont="1" applyFill="1" applyBorder="1" applyAlignment="1">
      <alignment horizontal="left" vertical="center" wrapText="1"/>
    </xf>
    <xf numFmtId="0" fontId="39" fillId="2" borderId="0" xfId="11" applyFont="1" applyFill="1" applyAlignment="1">
      <alignment horizontal="left" vertical="center" wrapText="1"/>
    </xf>
    <xf numFmtId="0" fontId="39" fillId="2" borderId="9" xfId="11" applyFont="1" applyFill="1" applyBorder="1" applyAlignment="1">
      <alignment horizontal="left" vertical="center" wrapText="1"/>
    </xf>
    <xf numFmtId="0" fontId="39" fillId="2" borderId="2" xfId="11" applyFont="1" applyFill="1" applyBorder="1" applyAlignment="1">
      <alignment horizontal="left" vertical="center" wrapText="1"/>
    </xf>
    <xf numFmtId="0" fontId="63" fillId="11" borderId="15" xfId="5" applyFont="1" applyFill="1" applyBorder="1" applyAlignment="1">
      <alignment horizontal="center" vertical="center"/>
    </xf>
    <xf numFmtId="0" fontId="63" fillId="11" borderId="16" xfId="5" applyFont="1" applyFill="1" applyBorder="1" applyAlignment="1">
      <alignment horizontal="center" vertical="center"/>
    </xf>
    <xf numFmtId="0" fontId="63" fillId="11" borderId="30" xfId="5" applyFont="1" applyFill="1" applyBorder="1" applyAlignment="1">
      <alignment horizontal="center" vertical="center"/>
    </xf>
    <xf numFmtId="0" fontId="63" fillId="11" borderId="0" xfId="5" applyFont="1" applyFill="1" applyAlignment="1">
      <alignment horizontal="center" vertical="center"/>
    </xf>
    <xf numFmtId="0" fontId="39" fillId="0" borderId="0" xfId="6" applyFont="1" applyBorder="1" applyAlignment="1">
      <alignment horizontal="left" vertical="top" wrapText="1"/>
    </xf>
    <xf numFmtId="0" fontId="39" fillId="0" borderId="6" xfId="8" applyFont="1" applyBorder="1" applyAlignment="1">
      <alignment horizontal="left" vertical="center" wrapText="1"/>
    </xf>
    <xf numFmtId="0" fontId="39" fillId="0" borderId="0" xfId="8" applyFont="1" applyAlignment="1">
      <alignment horizontal="left" vertical="center" wrapText="1"/>
    </xf>
    <xf numFmtId="0" fontId="11" fillId="2" borderId="0" xfId="4" applyFont="1" applyFill="1" applyAlignment="1">
      <alignment horizontal="left" vertical="top" wrapText="1"/>
    </xf>
    <xf numFmtId="0" fontId="11" fillId="2" borderId="0" xfId="9" applyFont="1" applyFill="1" applyBorder="1" applyAlignment="1">
      <alignment horizontal="left" vertical="center" wrapText="1"/>
    </xf>
    <xf numFmtId="0" fontId="28" fillId="2" borderId="0" xfId="0" applyFont="1" applyFill="1" applyAlignment="1">
      <alignment horizontal="left" wrapText="1"/>
    </xf>
    <xf numFmtId="0" fontId="44" fillId="4" borderId="12" xfId="0" applyFont="1" applyFill="1" applyBorder="1" applyAlignment="1">
      <alignment horizontal="left" vertical="top" wrapText="1"/>
    </xf>
    <xf numFmtId="0" fontId="12" fillId="9" borderId="0" xfId="0" applyFont="1" applyFill="1" applyAlignment="1">
      <alignment horizontal="left"/>
    </xf>
    <xf numFmtId="0" fontId="44" fillId="4" borderId="13" xfId="0" applyFont="1" applyFill="1" applyBorder="1" applyAlignment="1">
      <alignment horizontal="left" vertical="top" wrapText="1"/>
    </xf>
    <xf numFmtId="0" fontId="39" fillId="0" borderId="0" xfId="6" applyFont="1" applyBorder="1" applyAlignment="1">
      <alignment horizontal="left" vertical="center" wrapText="1"/>
    </xf>
    <xf numFmtId="0" fontId="28" fillId="2" borderId="0" xfId="0" applyFont="1" applyFill="1" applyAlignment="1">
      <alignment horizontal="left" vertical="top" wrapText="1"/>
    </xf>
    <xf numFmtId="0" fontId="7" fillId="2" borderId="0" xfId="6" applyFont="1" applyFill="1" applyBorder="1" applyAlignment="1">
      <alignment horizontal="left" vertical="center" wrapText="1"/>
    </xf>
    <xf numFmtId="0" fontId="71" fillId="2" borderId="9" xfId="0" applyFont="1" applyFill="1" applyBorder="1" applyAlignment="1">
      <alignment horizontal="left" wrapText="1"/>
    </xf>
    <xf numFmtId="0" fontId="71" fillId="2" borderId="0" xfId="0" applyFont="1" applyFill="1" applyAlignment="1">
      <alignment horizontal="left" wrapText="1"/>
    </xf>
    <xf numFmtId="0" fontId="71" fillId="2" borderId="2" xfId="0" applyFont="1" applyFill="1" applyBorder="1" applyAlignment="1">
      <alignment horizontal="left" wrapText="1"/>
    </xf>
    <xf numFmtId="0" fontId="34" fillId="2" borderId="0" xfId="9" applyFont="1" applyFill="1" applyBorder="1" applyAlignment="1">
      <alignment horizontal="left" vertical="center"/>
    </xf>
    <xf numFmtId="0" fontId="34" fillId="2" borderId="9" xfId="9" applyFont="1" applyFill="1" applyBorder="1" applyAlignment="1">
      <alignment horizontal="left" vertical="center"/>
    </xf>
    <xf numFmtId="0" fontId="34" fillId="2" borderId="2" xfId="9" applyFont="1" applyFill="1" applyBorder="1" applyAlignment="1">
      <alignment horizontal="left" vertical="center"/>
    </xf>
    <xf numFmtId="0" fontId="24" fillId="2" borderId="9" xfId="9" applyFont="1" applyFill="1" applyBorder="1" applyAlignment="1">
      <alignment horizontal="left" vertical="center" wrapText="1"/>
    </xf>
    <xf numFmtId="0" fontId="24" fillId="2" borderId="0" xfId="9" applyFont="1" applyFill="1" applyBorder="1" applyAlignment="1">
      <alignment horizontal="left" vertical="center" wrapText="1"/>
    </xf>
    <xf numFmtId="0" fontId="24" fillId="2" borderId="2" xfId="9" applyFont="1" applyFill="1" applyBorder="1" applyAlignment="1">
      <alignment horizontal="left" vertical="center" wrapText="1"/>
    </xf>
    <xf numFmtId="0" fontId="34" fillId="2" borderId="9" xfId="9" applyFont="1" applyFill="1" applyBorder="1" applyAlignment="1">
      <alignment horizontal="left" vertical="center" wrapText="1"/>
    </xf>
    <xf numFmtId="0" fontId="34" fillId="2" borderId="0" xfId="9" applyFont="1" applyFill="1" applyBorder="1" applyAlignment="1">
      <alignment horizontal="left" vertical="center" wrapText="1"/>
    </xf>
    <xf numFmtId="0" fontId="34" fillId="2" borderId="2" xfId="9" applyFont="1" applyFill="1" applyBorder="1" applyAlignment="1">
      <alignment horizontal="left" vertical="center" wrapText="1"/>
    </xf>
    <xf numFmtId="0" fontId="71" fillId="2" borderId="9" xfId="0" quotePrefix="1" applyFont="1" applyFill="1" applyBorder="1" applyAlignment="1">
      <alignment horizontal="left" vertical="center" wrapText="1"/>
    </xf>
    <xf numFmtId="0" fontId="71" fillId="2" borderId="0" xfId="0" quotePrefix="1" applyFont="1" applyFill="1" applyAlignment="1">
      <alignment horizontal="left" vertical="center" wrapText="1"/>
    </xf>
    <xf numFmtId="0" fontId="71" fillId="2" borderId="2" xfId="0" quotePrefix="1" applyFont="1" applyFill="1" applyBorder="1" applyAlignment="1">
      <alignment horizontal="left" vertical="center" wrapText="1"/>
    </xf>
    <xf numFmtId="0" fontId="34" fillId="5" borderId="9" xfId="8" applyFont="1" applyFill="1" applyBorder="1" applyAlignment="1">
      <alignment horizontal="left" vertical="center" wrapText="1"/>
    </xf>
    <xf numFmtId="0" fontId="34" fillId="5" borderId="2" xfId="8" applyFont="1" applyFill="1" applyBorder="1" applyAlignment="1">
      <alignment horizontal="left" vertical="center" wrapText="1"/>
    </xf>
    <xf numFmtId="0" fontId="34" fillId="5" borderId="9" xfId="8" applyFont="1" applyFill="1" applyBorder="1" applyAlignment="1">
      <alignment horizontal="left" vertical="top" wrapText="1"/>
    </xf>
    <xf numFmtId="0" fontId="34" fillId="5" borderId="2" xfId="8" applyFont="1" applyFill="1" applyBorder="1" applyAlignment="1">
      <alignment horizontal="left" vertical="top" wrapText="1"/>
    </xf>
    <xf numFmtId="0" fontId="34" fillId="5" borderId="0" xfId="8" applyFont="1" applyFill="1" applyAlignment="1">
      <alignment horizontal="left" vertical="top" wrapText="1"/>
    </xf>
    <xf numFmtId="0" fontId="34" fillId="5" borderId="2" xfId="0" applyFont="1" applyFill="1" applyBorder="1" applyAlignment="1">
      <alignment horizontal="left" vertical="top" wrapText="1"/>
    </xf>
  </cellXfs>
  <cellStyles count="22">
    <cellStyle name="60% - Accent6 lines" xfId="20" xr:uid="{1AC1E46C-8BD6-46B0-B47B-CA47E50A8C83}"/>
    <cellStyle name="Comma" xfId="1" builtinId="3"/>
    <cellStyle name="Comma 2" xfId="12" xr:uid="{42682B93-F743-4333-BFBA-62C90FFAA3DF}"/>
    <cellStyle name="Comma 3" xfId="21" xr:uid="{E224BECE-2E56-4B2D-8682-23897751F4BA}"/>
    <cellStyle name="Comma 84" xfId="18" xr:uid="{CEA56805-F4BD-4C08-A8D8-E00407149BE0}"/>
    <cellStyle name="Footnote" xfId="14" xr:uid="{F93DC725-51EE-4209-A388-F34A484E57C7}"/>
    <cellStyle name="Hyperlink" xfId="9" builtinId="8"/>
    <cellStyle name="NAB FTB1 - Financial Table Body" xfId="8" xr:uid="{252E231B-885D-4E0F-A9CC-348A8F402378}"/>
    <cellStyle name="NAB FTBB1 - Financial Table Body,AB" xfId="11" xr:uid="{32344AF6-4830-4EDF-80C6-F4F13632EF15}"/>
    <cellStyle name="NAB FTBB1a - Financial Table Body,AB,U" xfId="6" xr:uid="{5C9D5640-CE25-4BEF-9D18-A500C508F47C}"/>
    <cellStyle name="NAB FTH2a - Financial Header 2" xfId="7" xr:uid="{5F6C2081-3A21-4309-A299-9DCD8ED4117B}"/>
    <cellStyle name="NAB FTNB1g - Numbers B,S,1dp" xfId="10" xr:uid="{880369CC-9EFF-4CA5-BBAC-1E550272B76E}"/>
    <cellStyle name="NAB H2 - Header 2" xfId="4" xr:uid="{FD722256-F665-482B-A3B3-92F0CB8649FA}"/>
    <cellStyle name="Normal" xfId="0" builtinId="0"/>
    <cellStyle name="Normal 2" xfId="19" xr:uid="{921BB51E-7A6C-4DBA-9E5A-5BEDDB9D5BB3}"/>
    <cellStyle name="Normal 2 3 3 2" xfId="5" xr:uid="{CABF2DCD-6010-415B-98DB-5A03A0317337}"/>
    <cellStyle name="Normal 3" xfId="3" xr:uid="{2FAC7423-A868-42CB-8926-24760FC8EC36}"/>
    <cellStyle name="Percent" xfId="2" builtinId="5"/>
    <cellStyle name="Percent 45" xfId="17" xr:uid="{2F55C855-5B9E-4CCD-B3D7-AC128C7870B9}"/>
    <cellStyle name="Percent 47" xfId="13" xr:uid="{D89269AE-AC83-4483-A633-6249ED9D4AA7}"/>
    <cellStyle name="Percent 52" xfId="15" xr:uid="{79D4EB30-0375-41D0-A0EA-E047431D6E84}"/>
    <cellStyle name="Percent 55" xfId="16" xr:uid="{5E60D5D9-47AE-4A50-B145-1EFD8635C550}"/>
  </cellStyles>
  <dxfs count="0"/>
  <tableStyles count="0" defaultTableStyle="TableStyleMedium2" defaultPivotStyle="PivotStyleLight16"/>
  <colors>
    <mruColors>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34248</xdr:rowOff>
    </xdr:from>
    <xdr:to>
      <xdr:col>0</xdr:col>
      <xdr:colOff>4320540</xdr:colOff>
      <xdr:row>1</xdr:row>
      <xdr:rowOff>2014720</xdr:rowOff>
    </xdr:to>
    <xdr:pic>
      <xdr:nvPicPr>
        <xdr:cNvPr id="3" name="Picture 2">
          <a:extLst>
            <a:ext uri="{FF2B5EF4-FFF2-40B4-BE49-F238E27FC236}">
              <a16:creationId xmlns:a16="http://schemas.microsoft.com/office/drawing/2014/main" id="{01261F12-BCCC-DD72-8F86-3EE55BEE64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248"/>
          <a:ext cx="4320540" cy="21602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1489762</xdr:colOff>
      <xdr:row>5</xdr:row>
      <xdr:rowOff>11430</xdr:rowOff>
    </xdr:to>
    <xdr:pic>
      <xdr:nvPicPr>
        <xdr:cNvPr id="2" name="Picture 1">
          <a:extLst>
            <a:ext uri="{FF2B5EF4-FFF2-40B4-BE49-F238E27FC236}">
              <a16:creationId xmlns:a16="http://schemas.microsoft.com/office/drawing/2014/main" id="{5340D225-7EB3-4E50-824E-2D5698CF9B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82" y="187890"/>
          <a:ext cx="1489762" cy="7629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1482762</xdr:colOff>
      <xdr:row>5</xdr:row>
      <xdr:rowOff>11429</xdr:rowOff>
    </xdr:to>
    <xdr:pic>
      <xdr:nvPicPr>
        <xdr:cNvPr id="3" name="Picture 2">
          <a:extLst>
            <a:ext uri="{FF2B5EF4-FFF2-40B4-BE49-F238E27FC236}">
              <a16:creationId xmlns:a16="http://schemas.microsoft.com/office/drawing/2014/main" id="{7AAEF514-4EF5-4924-8CC5-4B54679A64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082" y="179294"/>
          <a:ext cx="1482762" cy="72860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1485900</xdr:colOff>
      <xdr:row>5</xdr:row>
      <xdr:rowOff>11430</xdr:rowOff>
    </xdr:to>
    <xdr:pic>
      <xdr:nvPicPr>
        <xdr:cNvPr id="3" name="Picture 2">
          <a:extLst>
            <a:ext uri="{FF2B5EF4-FFF2-40B4-BE49-F238E27FC236}">
              <a16:creationId xmlns:a16="http://schemas.microsoft.com/office/drawing/2014/main" id="{F08A012D-59EB-47F4-97E2-B7B223D63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182880"/>
          <a:ext cx="1485900" cy="7429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1485900</xdr:colOff>
      <xdr:row>5</xdr:row>
      <xdr:rowOff>11430</xdr:rowOff>
    </xdr:to>
    <xdr:pic>
      <xdr:nvPicPr>
        <xdr:cNvPr id="3" name="Picture 2">
          <a:extLst>
            <a:ext uri="{FF2B5EF4-FFF2-40B4-BE49-F238E27FC236}">
              <a16:creationId xmlns:a16="http://schemas.microsoft.com/office/drawing/2014/main" id="{F23F08EF-1473-4FD2-802E-87AD93A7E5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182880"/>
          <a:ext cx="1485900" cy="7429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1485900</xdr:colOff>
      <xdr:row>5</xdr:row>
      <xdr:rowOff>11430</xdr:rowOff>
    </xdr:to>
    <xdr:pic>
      <xdr:nvPicPr>
        <xdr:cNvPr id="3" name="Picture 2">
          <a:extLst>
            <a:ext uri="{FF2B5EF4-FFF2-40B4-BE49-F238E27FC236}">
              <a16:creationId xmlns:a16="http://schemas.microsoft.com/office/drawing/2014/main" id="{1BBAFF7C-F494-4BFA-BE38-C73F4FB8C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182880"/>
          <a:ext cx="1485900" cy="7429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13854</xdr:colOff>
      <xdr:row>0</xdr:row>
      <xdr:rowOff>110836</xdr:rowOff>
    </xdr:from>
    <xdr:to>
      <xdr:col>2</xdr:col>
      <xdr:colOff>30479</xdr:colOff>
      <xdr:row>4</xdr:row>
      <xdr:rowOff>122266</xdr:rowOff>
    </xdr:to>
    <xdr:pic>
      <xdr:nvPicPr>
        <xdr:cNvPr id="3" name="Picture 2">
          <a:extLst>
            <a:ext uri="{FF2B5EF4-FFF2-40B4-BE49-F238E27FC236}">
              <a16:creationId xmlns:a16="http://schemas.microsoft.com/office/drawing/2014/main" id="{07A7A5CA-0B48-4A54-B22C-1F0792F5BD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381" y="110836"/>
          <a:ext cx="1485207" cy="7318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97971</xdr:rowOff>
    </xdr:from>
    <xdr:to>
      <xdr:col>1</xdr:col>
      <xdr:colOff>1489166</xdr:colOff>
      <xdr:row>4</xdr:row>
      <xdr:rowOff>109401</xdr:rowOff>
    </xdr:to>
    <xdr:pic>
      <xdr:nvPicPr>
        <xdr:cNvPr id="3" name="Picture 2">
          <a:extLst>
            <a:ext uri="{FF2B5EF4-FFF2-40B4-BE49-F238E27FC236}">
              <a16:creationId xmlns:a16="http://schemas.microsoft.com/office/drawing/2014/main" id="{917D739C-29A0-46F8-96AA-9E0EA6E96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6" y="97971"/>
          <a:ext cx="1489166" cy="7516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xdr:colOff>
      <xdr:row>0</xdr:row>
      <xdr:rowOff>106680</xdr:rowOff>
    </xdr:from>
    <xdr:to>
      <xdr:col>1</xdr:col>
      <xdr:colOff>1463040</xdr:colOff>
      <xdr:row>4</xdr:row>
      <xdr:rowOff>118110</xdr:rowOff>
    </xdr:to>
    <xdr:pic>
      <xdr:nvPicPr>
        <xdr:cNvPr id="2" name="Picture 1">
          <a:extLst>
            <a:ext uri="{FF2B5EF4-FFF2-40B4-BE49-F238E27FC236}">
              <a16:creationId xmlns:a16="http://schemas.microsoft.com/office/drawing/2014/main" id="{0EE6A992-2B8D-4BF9-8B93-ECF169F22E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06680"/>
          <a:ext cx="1485900"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54428</xdr:rowOff>
    </xdr:from>
    <xdr:to>
      <xdr:col>1</xdr:col>
      <xdr:colOff>1485900</xdr:colOff>
      <xdr:row>4</xdr:row>
      <xdr:rowOff>62592</xdr:rowOff>
    </xdr:to>
    <xdr:pic>
      <xdr:nvPicPr>
        <xdr:cNvPr id="4" name="Picture 3">
          <a:extLst>
            <a:ext uri="{FF2B5EF4-FFF2-40B4-BE49-F238E27FC236}">
              <a16:creationId xmlns:a16="http://schemas.microsoft.com/office/drawing/2014/main" id="{C40D6D73-4AB7-4CC9-A846-562F56A046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54428"/>
          <a:ext cx="1485900" cy="742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160020</xdr:colOff>
      <xdr:row>0</xdr:row>
      <xdr:rowOff>152400</xdr:rowOff>
    </xdr:from>
    <xdr:to>
      <xdr:col>1</xdr:col>
      <xdr:colOff>1417320</xdr:colOff>
      <xdr:row>4</xdr:row>
      <xdr:rowOff>163830</xdr:rowOff>
    </xdr:to>
    <xdr:pic>
      <xdr:nvPicPr>
        <xdr:cNvPr id="5" name="Picture 4">
          <a:extLst>
            <a:ext uri="{FF2B5EF4-FFF2-40B4-BE49-F238E27FC236}">
              <a16:creationId xmlns:a16="http://schemas.microsoft.com/office/drawing/2014/main" id="{076E0BAB-DC8D-45D9-BD38-690731762F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 y="152400"/>
          <a:ext cx="1485900" cy="742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1485900</xdr:colOff>
      <xdr:row>4</xdr:row>
      <xdr:rowOff>125730</xdr:rowOff>
    </xdr:to>
    <xdr:pic>
      <xdr:nvPicPr>
        <xdr:cNvPr id="3" name="Picture 2">
          <a:extLst>
            <a:ext uri="{FF2B5EF4-FFF2-40B4-BE49-F238E27FC236}">
              <a16:creationId xmlns:a16="http://schemas.microsoft.com/office/drawing/2014/main" id="{4CD052AC-B9B0-4CE6-BC49-54D618CF3E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114300"/>
          <a:ext cx="1485900" cy="742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1</xdr:col>
      <xdr:colOff>1484630</xdr:colOff>
      <xdr:row>4</xdr:row>
      <xdr:rowOff>87630</xdr:rowOff>
    </xdr:to>
    <xdr:pic>
      <xdr:nvPicPr>
        <xdr:cNvPr id="3" name="Picture 2">
          <a:extLst>
            <a:ext uri="{FF2B5EF4-FFF2-40B4-BE49-F238E27FC236}">
              <a16:creationId xmlns:a16="http://schemas.microsoft.com/office/drawing/2014/main" id="{9FC6DB6F-91C5-44E9-B2FA-DDC3D722D7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950" y="76200"/>
          <a:ext cx="1484630" cy="7480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213360</xdr:colOff>
      <xdr:row>0</xdr:row>
      <xdr:rowOff>53340</xdr:rowOff>
    </xdr:from>
    <xdr:to>
      <xdr:col>1</xdr:col>
      <xdr:colOff>1463040</xdr:colOff>
      <xdr:row>4</xdr:row>
      <xdr:rowOff>64770</xdr:rowOff>
    </xdr:to>
    <xdr:pic>
      <xdr:nvPicPr>
        <xdr:cNvPr id="3" name="Picture 2">
          <a:extLst>
            <a:ext uri="{FF2B5EF4-FFF2-40B4-BE49-F238E27FC236}">
              <a16:creationId xmlns:a16="http://schemas.microsoft.com/office/drawing/2014/main" id="{D34019AB-D8C5-46A3-A69F-A90F047534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53340"/>
          <a:ext cx="1485900" cy="742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1481174</xdr:colOff>
      <xdr:row>5</xdr:row>
      <xdr:rowOff>11430</xdr:rowOff>
    </xdr:to>
    <xdr:pic>
      <xdr:nvPicPr>
        <xdr:cNvPr id="4" name="Picture 3">
          <a:extLst>
            <a:ext uri="{FF2B5EF4-FFF2-40B4-BE49-F238E27FC236}">
              <a16:creationId xmlns:a16="http://schemas.microsoft.com/office/drawing/2014/main" id="{880D850A-4541-4D22-9388-3A9A274478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494" y="183266"/>
          <a:ext cx="1481174" cy="7444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106680</xdr:rowOff>
    </xdr:from>
    <xdr:to>
      <xdr:col>1</xdr:col>
      <xdr:colOff>1485900</xdr:colOff>
      <xdr:row>4</xdr:row>
      <xdr:rowOff>118110</xdr:rowOff>
    </xdr:to>
    <xdr:pic>
      <xdr:nvPicPr>
        <xdr:cNvPr id="2" name="Picture 1">
          <a:extLst>
            <a:ext uri="{FF2B5EF4-FFF2-40B4-BE49-F238E27FC236}">
              <a16:creationId xmlns:a16="http://schemas.microsoft.com/office/drawing/2014/main" id="{C854AAFB-E008-4C7B-B58D-2685FDD9B3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106680"/>
          <a:ext cx="1485900" cy="742950"/>
        </a:xfrm>
        <a:prstGeom prst="rect">
          <a:avLst/>
        </a:prstGeom>
      </xdr:spPr>
    </xdr:pic>
    <xdr:clientData/>
  </xdr:twoCellAnchor>
</xdr:wsDr>
</file>

<file path=xl/theme/theme1.xml><?xml version="1.0" encoding="utf-8"?>
<a:theme xmlns:a="http://schemas.openxmlformats.org/drawingml/2006/main" name="Perseus theme">
  <a:themeElements>
    <a:clrScheme name="Perseus">
      <a:dk1>
        <a:sysClr val="windowText" lastClr="000000"/>
      </a:dk1>
      <a:lt1>
        <a:sysClr val="window" lastClr="FFFFFF"/>
      </a:lt1>
      <a:dk2>
        <a:srgbClr val="231F20"/>
      </a:dk2>
      <a:lt2>
        <a:srgbClr val="E7E6E6"/>
      </a:lt2>
      <a:accent1>
        <a:srgbClr val="8A1F03"/>
      </a:accent1>
      <a:accent2>
        <a:srgbClr val="E7A614"/>
      </a:accent2>
      <a:accent3>
        <a:srgbClr val="1E3742"/>
      </a:accent3>
      <a:accent4>
        <a:srgbClr val="0C202A"/>
      </a:accent4>
      <a:accent5>
        <a:srgbClr val="4D4D4F"/>
      </a:accent5>
      <a:accent6>
        <a:srgbClr val="AEB5BA"/>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45DF-C6A7-4224-A0D5-643ED2D7A149}">
  <sheetPr codeName="Sheet1">
    <tabColor rgb="FFFFFF00"/>
  </sheetPr>
  <dimension ref="A1:A7"/>
  <sheetViews>
    <sheetView workbookViewId="0">
      <selection activeCell="A2" sqref="A2"/>
    </sheetView>
  </sheetViews>
  <sheetFormatPr defaultRowHeight="14.5"/>
  <sheetData>
    <row r="1" spans="1:1">
      <c r="A1" s="375" t="s">
        <v>0</v>
      </c>
    </row>
    <row r="2" spans="1:1">
      <c r="A2" t="s">
        <v>1</v>
      </c>
    </row>
    <row r="3" spans="1:1">
      <c r="A3" t="s">
        <v>2</v>
      </c>
    </row>
    <row r="4" spans="1:1">
      <c r="A4" t="s">
        <v>3</v>
      </c>
    </row>
    <row r="5" spans="1:1">
      <c r="A5" t="s">
        <v>4</v>
      </c>
    </row>
    <row r="7" spans="1:1">
      <c r="A7" t="s">
        <v>5</v>
      </c>
    </row>
  </sheetData>
  <sheetProtection algorithmName="SHA-512" hashValue="9xT3TJ0Mvn9Iy9KYY9lOh3Gzm04TNFavRzf3aFAP3oANhedNroJay6k8yFUaGIClZwVCQ/Jh8kyKOd2UjlH0Qg==" saltValue="/uwZOLSKUXBwqJPDw1ciSw=="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31A2-73AD-49AF-A13A-2C4CF615AEFD}">
  <sheetPr codeName="Sheet8">
    <tabColor theme="5" tint="0.39997558519241921"/>
    <pageSetUpPr autoPageBreaks="0"/>
  </sheetPr>
  <dimension ref="B2:AB55"/>
  <sheetViews>
    <sheetView showGridLines="0" workbookViewId="0">
      <selection activeCell="B46" sqref="B46"/>
    </sheetView>
  </sheetViews>
  <sheetFormatPr defaultColWidth="8.453125" defaultRowHeight="14.5"/>
  <cols>
    <col min="1" max="1" width="3.453125" style="12" customWidth="1"/>
    <col min="2" max="2" width="39.54296875" style="12" customWidth="1"/>
    <col min="3" max="3" width="12.81640625" style="12" customWidth="1"/>
    <col min="4" max="4" width="11.453125" style="12" bestFit="1" customWidth="1"/>
    <col min="5" max="5" width="9.81640625" style="12" customWidth="1"/>
    <col min="6" max="7" width="8.453125" style="12"/>
    <col min="8" max="8" width="11.1796875" style="12" customWidth="1"/>
    <col min="9" max="9" width="10.81640625" style="12" bestFit="1" customWidth="1"/>
    <col min="10" max="10" width="8.54296875" style="12" bestFit="1" customWidth="1"/>
    <col min="11" max="12" width="11.453125" style="12" bestFit="1" customWidth="1"/>
    <col min="13" max="16" width="8.453125" style="12"/>
    <col min="17" max="17" width="10.54296875" style="12" customWidth="1"/>
    <col min="18" max="18" width="8.453125" style="12"/>
    <col min="19" max="19" width="9" style="12" bestFit="1" customWidth="1"/>
    <col min="20" max="27" width="8.453125" style="12"/>
    <col min="28" max="28" width="10" style="12" bestFit="1" customWidth="1"/>
    <col min="29" max="16384" width="8.453125" style="12"/>
  </cols>
  <sheetData>
    <row r="2" spans="2:28">
      <c r="G2" s="90" t="s">
        <v>78</v>
      </c>
    </row>
    <row r="6" spans="2:28">
      <c r="B6" s="75" t="s">
        <v>328</v>
      </c>
      <c r="C6" s="75"/>
    </row>
    <row r="7" spans="2:28">
      <c r="B7" s="75" t="s">
        <v>329</v>
      </c>
      <c r="C7" s="75"/>
      <c r="D7" s="399" t="s">
        <v>123</v>
      </c>
      <c r="E7" s="402"/>
      <c r="F7" s="400"/>
      <c r="G7" s="399" t="s">
        <v>124</v>
      </c>
      <c r="H7" s="402"/>
      <c r="I7" s="400"/>
      <c r="J7" s="399" t="s">
        <v>125</v>
      </c>
      <c r="K7" s="402"/>
      <c r="L7" s="400"/>
      <c r="M7" s="399" t="s">
        <v>126</v>
      </c>
      <c r="N7" s="402"/>
      <c r="O7" s="400"/>
      <c r="P7" s="399" t="s">
        <v>330</v>
      </c>
      <c r="Q7" s="402"/>
      <c r="R7" s="400"/>
      <c r="S7" s="399" t="s">
        <v>128</v>
      </c>
      <c r="T7" s="402"/>
      <c r="U7" s="400"/>
      <c r="V7" s="399" t="s">
        <v>152</v>
      </c>
      <c r="W7" s="402"/>
      <c r="X7" s="400"/>
      <c r="Y7" s="399" t="s">
        <v>154</v>
      </c>
      <c r="Z7" s="402"/>
      <c r="AA7" s="400"/>
    </row>
    <row r="8" spans="2:28">
      <c r="B8" s="155" t="s">
        <v>331</v>
      </c>
      <c r="C8" s="155" t="s">
        <v>107</v>
      </c>
      <c r="D8" s="162" t="s">
        <v>108</v>
      </c>
      <c r="E8" s="171" t="s">
        <v>109</v>
      </c>
      <c r="F8" s="166" t="s">
        <v>141</v>
      </c>
      <c r="G8" s="162" t="s">
        <v>108</v>
      </c>
      <c r="H8" s="171" t="s">
        <v>109</v>
      </c>
      <c r="I8" s="166" t="s">
        <v>141</v>
      </c>
      <c r="J8" s="162" t="s">
        <v>108</v>
      </c>
      <c r="K8" s="171" t="s">
        <v>109</v>
      </c>
      <c r="L8" s="166" t="s">
        <v>141</v>
      </c>
      <c r="M8" s="162" t="s">
        <v>108</v>
      </c>
      <c r="N8" s="171" t="s">
        <v>109</v>
      </c>
      <c r="O8" s="166" t="s">
        <v>141</v>
      </c>
      <c r="P8" s="162" t="s">
        <v>108</v>
      </c>
      <c r="Q8" s="171" t="s">
        <v>109</v>
      </c>
      <c r="R8" s="166" t="s">
        <v>141</v>
      </c>
      <c r="S8" s="162" t="s">
        <v>108</v>
      </c>
      <c r="T8" s="171" t="s">
        <v>109</v>
      </c>
      <c r="U8" s="166" t="s">
        <v>141</v>
      </c>
      <c r="V8" s="162" t="s">
        <v>108</v>
      </c>
      <c r="W8" s="171" t="s">
        <v>109</v>
      </c>
      <c r="X8" s="166" t="s">
        <v>141</v>
      </c>
      <c r="Y8" s="162" t="s">
        <v>108</v>
      </c>
      <c r="Z8" s="171" t="s">
        <v>109</v>
      </c>
      <c r="AA8" s="166" t="s">
        <v>141</v>
      </c>
    </row>
    <row r="9" spans="2:28">
      <c r="B9" s="172" t="s">
        <v>332</v>
      </c>
      <c r="C9" s="173" t="s">
        <v>333</v>
      </c>
      <c r="D9" s="298">
        <f>458716-P12</f>
        <v>457786</v>
      </c>
      <c r="E9" s="181">
        <v>712841</v>
      </c>
      <c r="F9" s="182">
        <v>690158</v>
      </c>
      <c r="G9" s="367">
        <v>1105910</v>
      </c>
      <c r="H9" s="181">
        <v>1323035</v>
      </c>
      <c r="I9" s="182">
        <v>1281229</v>
      </c>
      <c r="J9" s="298">
        <v>9568</v>
      </c>
      <c r="K9" s="181">
        <v>78137</v>
      </c>
      <c r="L9" s="182">
        <v>97500</v>
      </c>
      <c r="M9" s="298">
        <v>132680</v>
      </c>
      <c r="N9" s="181">
        <v>114462</v>
      </c>
      <c r="O9" s="182">
        <v>106191</v>
      </c>
      <c r="P9" s="298">
        <f>9259+P12</f>
        <v>10189</v>
      </c>
      <c r="Q9" s="181">
        <v>10370</v>
      </c>
      <c r="R9" s="182">
        <v>161372</v>
      </c>
      <c r="S9" s="298">
        <v>6547</v>
      </c>
      <c r="T9" s="181">
        <v>62473</v>
      </c>
      <c r="U9" s="182">
        <v>0</v>
      </c>
      <c r="V9" s="298">
        <v>249729</v>
      </c>
      <c r="W9" s="181">
        <v>6735</v>
      </c>
      <c r="X9" s="182">
        <v>0</v>
      </c>
      <c r="Y9" s="298">
        <v>8291</v>
      </c>
      <c r="Z9" s="181">
        <v>12356</v>
      </c>
      <c r="AA9" s="182">
        <v>6060</v>
      </c>
      <c r="AB9" s="327"/>
    </row>
    <row r="10" spans="2:28">
      <c r="B10" s="172" t="s">
        <v>334</v>
      </c>
      <c r="C10" s="173" t="s">
        <v>333</v>
      </c>
      <c r="D10" s="298">
        <v>22176</v>
      </c>
      <c r="E10" s="181">
        <v>45828</v>
      </c>
      <c r="F10" s="182">
        <v>46143</v>
      </c>
      <c r="G10" s="367">
        <v>205911</v>
      </c>
      <c r="H10" s="181">
        <v>227348</v>
      </c>
      <c r="I10" s="182">
        <v>217123</v>
      </c>
      <c r="J10" s="298">
        <v>0</v>
      </c>
      <c r="K10" s="181">
        <v>0</v>
      </c>
      <c r="L10" s="182">
        <v>0</v>
      </c>
      <c r="M10" s="298">
        <v>0</v>
      </c>
      <c r="N10" s="181">
        <v>0</v>
      </c>
      <c r="O10" s="182">
        <v>0</v>
      </c>
      <c r="P10" s="298">
        <v>0</v>
      </c>
      <c r="Q10" s="181">
        <v>0</v>
      </c>
      <c r="R10" s="182">
        <v>0</v>
      </c>
      <c r="S10" s="298">
        <v>0</v>
      </c>
      <c r="T10" s="181">
        <v>0</v>
      </c>
      <c r="U10" s="182">
        <v>0</v>
      </c>
      <c r="V10" s="298">
        <v>0</v>
      </c>
      <c r="W10" s="181">
        <v>0</v>
      </c>
      <c r="X10" s="182">
        <v>0</v>
      </c>
      <c r="Y10" s="298">
        <v>0</v>
      </c>
      <c r="Z10" s="181">
        <v>0</v>
      </c>
      <c r="AA10" s="182">
        <v>0</v>
      </c>
    </row>
    <row r="11" spans="2:28">
      <c r="B11" s="172" t="s">
        <v>335</v>
      </c>
      <c r="C11" s="173" t="s">
        <v>333</v>
      </c>
      <c r="D11" s="298">
        <f>D9-D10</f>
        <v>435610</v>
      </c>
      <c r="E11" s="181">
        <v>667013</v>
      </c>
      <c r="F11" s="182">
        <v>644015</v>
      </c>
      <c r="G11" s="367">
        <f>G9-G10</f>
        <v>899999</v>
      </c>
      <c r="H11" s="181">
        <v>1095687</v>
      </c>
      <c r="I11" s="182">
        <v>1064106</v>
      </c>
      <c r="J11" s="298">
        <f>J9-J10</f>
        <v>9568</v>
      </c>
      <c r="K11" s="181">
        <v>78137</v>
      </c>
      <c r="L11" s="182">
        <f>L9+L10</f>
        <v>97500</v>
      </c>
      <c r="M11" s="298">
        <f>M9-M10</f>
        <v>132680</v>
      </c>
      <c r="N11" s="181">
        <f>N9+N10</f>
        <v>114462</v>
      </c>
      <c r="O11" s="182">
        <f>O9+O10</f>
        <v>106191</v>
      </c>
      <c r="P11" s="298">
        <f>P9-P10</f>
        <v>10189</v>
      </c>
      <c r="Q11" s="181">
        <f>Q9+Q10</f>
        <v>10370</v>
      </c>
      <c r="R11" s="182">
        <f>R9+R10</f>
        <v>161372</v>
      </c>
      <c r="S11" s="298">
        <f>S9-S10</f>
        <v>6547</v>
      </c>
      <c r="T11" s="181">
        <f>T9+T10</f>
        <v>62473</v>
      </c>
      <c r="U11" s="182">
        <v>0</v>
      </c>
      <c r="V11" s="298">
        <f>V9-V10</f>
        <v>249729</v>
      </c>
      <c r="W11" s="181">
        <f>W9+W10</f>
        <v>6735</v>
      </c>
      <c r="X11" s="182">
        <f>X9+X10</f>
        <v>0</v>
      </c>
      <c r="Y11" s="298">
        <f>Y9-Y10</f>
        <v>8291</v>
      </c>
      <c r="Z11" s="181">
        <f>Z9+Z10</f>
        <v>12356</v>
      </c>
      <c r="AA11" s="182">
        <f>AA9+AA10</f>
        <v>6060</v>
      </c>
    </row>
    <row r="12" spans="2:28">
      <c r="B12" s="324" t="s">
        <v>336</v>
      </c>
      <c r="C12" s="173" t="s">
        <v>333</v>
      </c>
      <c r="D12" s="298">
        <f>138282-P12</f>
        <v>137352</v>
      </c>
      <c r="E12" s="181">
        <v>192081</v>
      </c>
      <c r="F12" s="182">
        <v>193979</v>
      </c>
      <c r="G12" s="367">
        <v>0</v>
      </c>
      <c r="H12" s="181">
        <v>0</v>
      </c>
      <c r="I12" s="182">
        <v>0</v>
      </c>
      <c r="J12" s="298">
        <v>0</v>
      </c>
      <c r="K12" s="181">
        <v>0</v>
      </c>
      <c r="L12" s="182">
        <v>0</v>
      </c>
      <c r="M12" s="298">
        <v>0</v>
      </c>
      <c r="N12" s="181">
        <v>0</v>
      </c>
      <c r="O12" s="182">
        <v>0</v>
      </c>
      <c r="P12" s="298">
        <v>930</v>
      </c>
      <c r="Q12" s="181">
        <v>1477</v>
      </c>
      <c r="R12" s="182">
        <v>1744</v>
      </c>
      <c r="S12" s="298">
        <v>0</v>
      </c>
      <c r="T12" s="181">
        <v>0</v>
      </c>
      <c r="U12" s="182">
        <v>0</v>
      </c>
      <c r="V12" s="298">
        <v>0</v>
      </c>
      <c r="W12" s="181">
        <v>0</v>
      </c>
      <c r="X12" s="182">
        <v>0</v>
      </c>
      <c r="Y12" s="298">
        <v>0</v>
      </c>
      <c r="Z12" s="181">
        <v>0</v>
      </c>
      <c r="AA12" s="182">
        <v>0</v>
      </c>
    </row>
    <row r="13" spans="2:28">
      <c r="B13" s="324" t="s">
        <v>337</v>
      </c>
      <c r="C13" s="173" t="s">
        <v>265</v>
      </c>
      <c r="D13" s="321">
        <f>D12/D9</f>
        <v>0.30003538771390997</v>
      </c>
      <c r="E13" s="183">
        <v>0.27</v>
      </c>
      <c r="F13" s="183">
        <v>0.28000000000000003</v>
      </c>
      <c r="G13" s="368">
        <f>G12/G9</f>
        <v>0</v>
      </c>
      <c r="H13" s="181">
        <v>0</v>
      </c>
      <c r="I13" s="182">
        <v>0</v>
      </c>
      <c r="J13" s="321">
        <f>J12/J9</f>
        <v>0</v>
      </c>
      <c r="K13" s="181">
        <v>0</v>
      </c>
      <c r="L13" s="182">
        <v>0</v>
      </c>
      <c r="M13" s="321">
        <f>M12/M9</f>
        <v>0</v>
      </c>
      <c r="N13" s="181">
        <v>0</v>
      </c>
      <c r="O13" s="182">
        <v>0</v>
      </c>
      <c r="P13" s="321">
        <f>P12/P9</f>
        <v>9.1274904308568064E-2</v>
      </c>
      <c r="Q13" s="183">
        <v>0.14000000000000001</v>
      </c>
      <c r="R13" s="183">
        <v>0.01</v>
      </c>
      <c r="S13" s="321">
        <f>S12/S9</f>
        <v>0</v>
      </c>
      <c r="T13" s="181">
        <v>0</v>
      </c>
      <c r="U13" s="182">
        <v>0</v>
      </c>
      <c r="V13" s="321">
        <f>V12/V9</f>
        <v>0</v>
      </c>
      <c r="W13" s="181">
        <v>0</v>
      </c>
      <c r="X13" s="182">
        <v>0</v>
      </c>
      <c r="Y13" s="321">
        <f>Y12/Y9</f>
        <v>0</v>
      </c>
      <c r="Z13" s="181">
        <v>0</v>
      </c>
      <c r="AA13" s="182">
        <v>0</v>
      </c>
    </row>
    <row r="14" spans="2:28">
      <c r="B14" s="324" t="s">
        <v>338</v>
      </c>
      <c r="C14" s="173" t="s">
        <v>333</v>
      </c>
      <c r="D14" s="321"/>
      <c r="E14" s="183"/>
      <c r="F14" s="183"/>
      <c r="G14" s="367">
        <v>1501</v>
      </c>
      <c r="H14" s="181"/>
      <c r="I14" s="182"/>
      <c r="J14" s="321"/>
      <c r="K14" s="181"/>
      <c r="L14" s="182"/>
      <c r="M14" s="321"/>
      <c r="N14" s="181"/>
      <c r="O14" s="182"/>
      <c r="P14" s="321"/>
      <c r="Q14" s="183"/>
      <c r="R14" s="183"/>
      <c r="S14" s="321"/>
      <c r="T14" s="181"/>
      <c r="U14" s="182"/>
      <c r="V14" s="321"/>
      <c r="W14" s="181"/>
      <c r="X14" s="182"/>
      <c r="Y14" s="321"/>
      <c r="Z14" s="181"/>
      <c r="AA14" s="182"/>
    </row>
    <row r="15" spans="2:28">
      <c r="B15" s="324" t="s">
        <v>339</v>
      </c>
      <c r="C15" s="173" t="s">
        <v>265</v>
      </c>
      <c r="D15" s="298">
        <v>0</v>
      </c>
      <c r="E15" s="181">
        <v>0</v>
      </c>
      <c r="F15" s="182">
        <v>0</v>
      </c>
      <c r="G15" s="369">
        <f>G14/G10</f>
        <v>7.289557138763835E-3</v>
      </c>
      <c r="H15" s="181">
        <v>0</v>
      </c>
      <c r="I15" s="182">
        <v>0</v>
      </c>
      <c r="J15" s="298">
        <v>0</v>
      </c>
      <c r="K15" s="181">
        <v>0</v>
      </c>
      <c r="L15" s="182">
        <v>0</v>
      </c>
      <c r="M15" s="298">
        <v>0</v>
      </c>
      <c r="N15" s="181">
        <v>0</v>
      </c>
      <c r="O15" s="182">
        <v>0</v>
      </c>
      <c r="P15" s="298">
        <v>0</v>
      </c>
      <c r="Q15" s="181">
        <v>0</v>
      </c>
      <c r="R15" s="182">
        <v>0</v>
      </c>
      <c r="S15" s="298">
        <v>0</v>
      </c>
      <c r="T15" s="181">
        <v>0</v>
      </c>
      <c r="U15" s="182">
        <v>0</v>
      </c>
      <c r="V15" s="298">
        <v>0</v>
      </c>
      <c r="W15" s="181">
        <v>0</v>
      </c>
      <c r="X15" s="182">
        <v>0</v>
      </c>
      <c r="Y15" s="298">
        <v>0</v>
      </c>
      <c r="Z15" s="181">
        <v>0</v>
      </c>
      <c r="AA15" s="182">
        <v>0</v>
      </c>
    </row>
    <row r="16" spans="2:28">
      <c r="B16" s="75"/>
      <c r="C16" s="75"/>
    </row>
    <row r="17" spans="2:22" ht="42.65" customHeight="1">
      <c r="B17" s="421" t="s">
        <v>340</v>
      </c>
      <c r="C17" s="421"/>
      <c r="D17" s="421"/>
      <c r="E17" s="421"/>
      <c r="F17" s="421"/>
      <c r="G17" s="421"/>
      <c r="H17" s="421"/>
      <c r="I17" s="421"/>
      <c r="K17" s="347"/>
    </row>
    <row r="18" spans="2:22">
      <c r="B18" s="75"/>
      <c r="C18" s="75"/>
    </row>
    <row r="19" spans="2:22">
      <c r="B19" s="75"/>
      <c r="C19" s="75"/>
      <c r="D19" s="399" t="s">
        <v>124</v>
      </c>
      <c r="E19" s="402"/>
      <c r="F19" s="400"/>
      <c r="G19" s="399" t="s">
        <v>123</v>
      </c>
      <c r="H19" s="402"/>
      <c r="I19" s="400"/>
      <c r="J19" s="399" t="s">
        <v>121</v>
      </c>
      <c r="K19" s="402"/>
      <c r="L19" s="400"/>
      <c r="T19" s="327"/>
      <c r="V19" s="327"/>
    </row>
    <row r="20" spans="2:22">
      <c r="B20" s="155" t="s">
        <v>341</v>
      </c>
      <c r="C20" s="155" t="s">
        <v>107</v>
      </c>
      <c r="D20" s="162" t="s">
        <v>108</v>
      </c>
      <c r="E20" s="171" t="s">
        <v>109</v>
      </c>
      <c r="F20" s="166" t="s">
        <v>141</v>
      </c>
      <c r="G20" s="162" t="s">
        <v>108</v>
      </c>
      <c r="H20" s="171" t="s">
        <v>109</v>
      </c>
      <c r="I20" s="166" t="s">
        <v>141</v>
      </c>
      <c r="J20" s="162" t="s">
        <v>108</v>
      </c>
      <c r="K20" s="171" t="s">
        <v>109</v>
      </c>
      <c r="L20" s="166" t="s">
        <v>141</v>
      </c>
    </row>
    <row r="21" spans="2:22">
      <c r="B21" s="172" t="s">
        <v>332</v>
      </c>
      <c r="C21" s="173" t="s">
        <v>333</v>
      </c>
      <c r="D21" s="298">
        <f>G9+M9+V9</f>
        <v>1488319</v>
      </c>
      <c r="E21" s="181">
        <v>1436851</v>
      </c>
      <c r="F21" s="182">
        <v>1448478</v>
      </c>
      <c r="G21" s="298">
        <f>D9+J9+P9+S9</f>
        <v>484090</v>
      </c>
      <c r="H21" s="181">
        <f t="shared" ref="H21:I21" si="0">E9+K9+Q9+T9</f>
        <v>863821</v>
      </c>
      <c r="I21" s="182">
        <f t="shared" si="0"/>
        <v>949030</v>
      </c>
      <c r="J21" s="342">
        <f>D9+G9+J9+M9+P9+S9+V9+Y9</f>
        <v>1980700</v>
      </c>
      <c r="K21" s="339">
        <v>2299714</v>
      </c>
      <c r="L21" s="182">
        <v>2397508</v>
      </c>
    </row>
    <row r="22" spans="2:22">
      <c r="B22" s="172" t="s">
        <v>342</v>
      </c>
      <c r="C22" s="173" t="s">
        <v>343</v>
      </c>
      <c r="D22" s="298">
        <v>248108</v>
      </c>
      <c r="E22" s="181">
        <v>160765</v>
      </c>
      <c r="F22" s="182">
        <v>127943</v>
      </c>
      <c r="G22" s="298">
        <v>53556</v>
      </c>
      <c r="H22" s="181">
        <v>132268</v>
      </c>
      <c r="I22" s="182">
        <v>113053</v>
      </c>
      <c r="J22" s="342">
        <v>301665</v>
      </c>
      <c r="K22" s="339">
        <v>293033</v>
      </c>
      <c r="L22" s="182">
        <v>240996</v>
      </c>
    </row>
    <row r="23" spans="2:22">
      <c r="B23" s="172" t="s">
        <v>344</v>
      </c>
      <c r="C23" s="173" t="s">
        <v>345</v>
      </c>
      <c r="D23" s="331">
        <f>D21/D22</f>
        <v>5.9986739645638192</v>
      </c>
      <c r="E23" s="348">
        <v>8.94</v>
      </c>
      <c r="F23" s="188">
        <v>11.32</v>
      </c>
      <c r="G23" s="331">
        <f>G21/G22</f>
        <v>9.0389498842333253</v>
      </c>
      <c r="H23" s="348">
        <f t="shared" ref="H23:I23" si="1">H21/H22</f>
        <v>6.5308389028336409</v>
      </c>
      <c r="I23" s="188">
        <f t="shared" si="1"/>
        <v>8.3945583045120422</v>
      </c>
      <c r="J23" s="343">
        <f>J21/J22</f>
        <v>6.5658926292410458</v>
      </c>
      <c r="K23" s="340">
        <v>7.85</v>
      </c>
      <c r="L23" s="188">
        <v>9.9499999999999993</v>
      </c>
    </row>
    <row r="24" spans="2:22">
      <c r="B24" s="75"/>
      <c r="C24" s="75"/>
      <c r="D24"/>
      <c r="E24"/>
      <c r="F24"/>
      <c r="G24"/>
      <c r="H24"/>
      <c r="I24"/>
      <c r="J24"/>
      <c r="K24"/>
    </row>
    <row r="25" spans="2:22">
      <c r="B25" s="278" t="s">
        <v>346</v>
      </c>
      <c r="C25" s="75"/>
    </row>
    <row r="26" spans="2:22">
      <c r="B26" s="278" t="s">
        <v>347</v>
      </c>
      <c r="C26" s="75"/>
    </row>
    <row r="27" spans="2:22" s="63" customFormat="1" ht="13">
      <c r="B27" s="279" t="s">
        <v>348</v>
      </c>
    </row>
    <row r="28" spans="2:22" s="63" customFormat="1" ht="13">
      <c r="B28" s="358" t="s">
        <v>349</v>
      </c>
    </row>
    <row r="29" spans="2:22" s="63" customFormat="1" ht="13">
      <c r="B29" s="358"/>
    </row>
    <row r="30" spans="2:22" s="63" customFormat="1" ht="13">
      <c r="B30" s="75" t="s">
        <v>350</v>
      </c>
      <c r="C30" s="75"/>
      <c r="D30" s="403" t="s">
        <v>159</v>
      </c>
      <c r="E30" s="404"/>
      <c r="F30" s="404"/>
      <c r="G30" s="404"/>
      <c r="H30" s="404"/>
    </row>
    <row r="31" spans="2:22" s="63" customFormat="1" ht="13">
      <c r="B31" s="155" t="s">
        <v>55</v>
      </c>
      <c r="C31" s="155" t="s">
        <v>107</v>
      </c>
      <c r="D31" s="162" t="s">
        <v>108</v>
      </c>
      <c r="E31" s="171" t="s">
        <v>109</v>
      </c>
      <c r="F31" s="171" t="s">
        <v>141</v>
      </c>
      <c r="G31" s="171" t="s">
        <v>160</v>
      </c>
      <c r="H31" s="171" t="s">
        <v>161</v>
      </c>
    </row>
    <row r="32" spans="2:22" s="63" customFormat="1" ht="13">
      <c r="B32" s="172" t="s">
        <v>332</v>
      </c>
      <c r="C32" s="173" t="s">
        <v>333</v>
      </c>
      <c r="D32" s="263">
        <v>1981308</v>
      </c>
      <c r="E32" s="142">
        <v>2320954</v>
      </c>
      <c r="F32" s="142">
        <v>2403568</v>
      </c>
      <c r="G32" s="142">
        <v>2571608</v>
      </c>
      <c r="H32" s="139">
        <v>2253720</v>
      </c>
      <c r="I32" s="345"/>
    </row>
    <row r="33" spans="2:19" s="63" customFormat="1" ht="13">
      <c r="B33" s="324" t="s">
        <v>351</v>
      </c>
      <c r="C33" s="173" t="s">
        <v>333</v>
      </c>
      <c r="D33" s="263">
        <v>228087</v>
      </c>
      <c r="E33" s="142">
        <v>273176</v>
      </c>
      <c r="F33" s="140">
        <v>276098</v>
      </c>
      <c r="G33" s="140">
        <v>292609</v>
      </c>
      <c r="H33" s="141">
        <v>258138</v>
      </c>
    </row>
    <row r="34" spans="2:19" s="63" customFormat="1" ht="13">
      <c r="B34" s="324" t="s">
        <v>352</v>
      </c>
      <c r="C34" s="173"/>
      <c r="D34" s="263"/>
      <c r="E34" s="142"/>
      <c r="F34" s="140"/>
      <c r="G34" s="140"/>
      <c r="H34" s="141"/>
    </row>
    <row r="35" spans="2:19" s="63" customFormat="1" ht="13">
      <c r="B35" s="324" t="s">
        <v>335</v>
      </c>
      <c r="C35" s="173" t="s">
        <v>333</v>
      </c>
      <c r="D35" s="263">
        <f>D32-D33</f>
        <v>1753221</v>
      </c>
      <c r="E35" s="142">
        <f>E32-E33</f>
        <v>2047778</v>
      </c>
      <c r="F35" s="142">
        <f>F32-F33</f>
        <v>2127470</v>
      </c>
      <c r="G35" s="142">
        <f>G32-G33</f>
        <v>2278999</v>
      </c>
      <c r="H35" s="142">
        <f>H32-H33</f>
        <v>1995582</v>
      </c>
    </row>
    <row r="36" spans="2:19" s="63" customFormat="1" ht="13">
      <c r="B36" s="172" t="s">
        <v>336</v>
      </c>
      <c r="C36" s="173" t="s">
        <v>333</v>
      </c>
      <c r="D36" s="263">
        <v>138836</v>
      </c>
      <c r="E36" s="142">
        <v>194102</v>
      </c>
      <c r="F36" s="142">
        <v>195723</v>
      </c>
      <c r="G36" s="142">
        <v>212387</v>
      </c>
      <c r="H36" s="138">
        <v>211850</v>
      </c>
    </row>
    <row r="37" spans="2:19" s="63" customFormat="1" ht="13">
      <c r="B37" s="172" t="s">
        <v>337</v>
      </c>
      <c r="C37" s="173" t="s">
        <v>265</v>
      </c>
      <c r="D37" s="359">
        <f>D36/D32</f>
        <v>7.0072901335885188E-2</v>
      </c>
      <c r="E37" s="233">
        <v>0.08</v>
      </c>
      <c r="F37" s="233">
        <v>9.8000000000000004E-2</v>
      </c>
      <c r="G37" s="233">
        <v>8.2000000000000003E-2</v>
      </c>
      <c r="H37" s="280">
        <v>9.4E-2</v>
      </c>
    </row>
    <row r="38" spans="2:19" s="63" customFormat="1" ht="13">
      <c r="B38" s="172" t="s">
        <v>353</v>
      </c>
      <c r="C38" s="173" t="s">
        <v>265</v>
      </c>
      <c r="D38" s="359">
        <v>7.3000000000000001E-3</v>
      </c>
      <c r="E38" s="233">
        <v>0</v>
      </c>
      <c r="F38" s="233">
        <v>0</v>
      </c>
      <c r="G38" s="233">
        <v>0</v>
      </c>
      <c r="H38" s="280">
        <v>0</v>
      </c>
    </row>
    <row r="39" spans="2:19" s="63" customFormat="1" ht="13">
      <c r="B39" s="324" t="s">
        <v>354</v>
      </c>
      <c r="C39" s="172" t="s">
        <v>345</v>
      </c>
      <c r="D39" s="360">
        <f>D32/J22</f>
        <v>6.567908109989558</v>
      </c>
      <c r="E39" s="281">
        <v>7.91</v>
      </c>
      <c r="F39" s="281">
        <v>9.9700000000000006</v>
      </c>
      <c r="G39" s="281">
        <v>9.94</v>
      </c>
      <c r="H39" s="281">
        <v>8.2799999999999994</v>
      </c>
    </row>
    <row r="40" spans="2:19" s="63" customFormat="1" ht="13">
      <c r="B40" s="279"/>
    </row>
    <row r="41" spans="2:19" s="63" customFormat="1" ht="30.65" customHeight="1">
      <c r="B41" s="422" t="s">
        <v>355</v>
      </c>
      <c r="C41" s="422"/>
      <c r="D41" s="422"/>
      <c r="E41" s="422"/>
      <c r="F41" s="422"/>
      <c r="G41" s="422"/>
      <c r="H41" s="422"/>
    </row>
    <row r="42" spans="2:19" s="63" customFormat="1" ht="13">
      <c r="B42" s="279"/>
    </row>
    <row r="43" spans="2:19">
      <c r="D43" s="399" t="s">
        <v>123</v>
      </c>
      <c r="E43" s="400"/>
      <c r="F43" s="399" t="s">
        <v>124</v>
      </c>
      <c r="G43" s="400"/>
      <c r="H43" s="399" t="s">
        <v>125</v>
      </c>
      <c r="I43" s="400"/>
      <c r="J43" s="399" t="s">
        <v>218</v>
      </c>
      <c r="K43" s="400"/>
      <c r="L43" s="399" t="s">
        <v>127</v>
      </c>
      <c r="M43" s="400"/>
      <c r="N43" s="399" t="s">
        <v>128</v>
      </c>
      <c r="O43" s="400"/>
      <c r="P43" s="399" t="s">
        <v>152</v>
      </c>
      <c r="Q43" s="400"/>
      <c r="R43" s="399" t="s">
        <v>121</v>
      </c>
      <c r="S43" s="400"/>
    </row>
    <row r="44" spans="2:19">
      <c r="B44" s="155" t="s">
        <v>56</v>
      </c>
      <c r="C44" s="155" t="s">
        <v>107</v>
      </c>
      <c r="D44" s="162" t="s">
        <v>108</v>
      </c>
      <c r="E44" s="163" t="s">
        <v>109</v>
      </c>
      <c r="F44" s="162" t="s">
        <v>108</v>
      </c>
      <c r="G44" s="163" t="s">
        <v>109</v>
      </c>
      <c r="H44" s="162" t="s">
        <v>108</v>
      </c>
      <c r="I44" s="163" t="s">
        <v>109</v>
      </c>
      <c r="J44" s="162" t="s">
        <v>108</v>
      </c>
      <c r="K44" s="163" t="s">
        <v>109</v>
      </c>
      <c r="L44" s="162" t="s">
        <v>108</v>
      </c>
      <c r="M44" s="163" t="s">
        <v>109</v>
      </c>
      <c r="N44" s="162" t="s">
        <v>108</v>
      </c>
      <c r="O44" s="163" t="s">
        <v>109</v>
      </c>
      <c r="P44" s="162" t="s">
        <v>108</v>
      </c>
      <c r="Q44" s="163" t="s">
        <v>109</v>
      </c>
      <c r="R44" s="162" t="s">
        <v>108</v>
      </c>
      <c r="S44" s="163" t="s">
        <v>109</v>
      </c>
    </row>
    <row r="45" spans="2:19">
      <c r="B45" s="329" t="s">
        <v>356</v>
      </c>
      <c r="C45" s="329" t="s">
        <v>174</v>
      </c>
      <c r="D45" s="298">
        <v>89</v>
      </c>
      <c r="E45" s="160">
        <v>148</v>
      </c>
      <c r="F45" s="298">
        <v>207</v>
      </c>
      <c r="G45" s="160">
        <v>185</v>
      </c>
      <c r="H45" s="298">
        <v>0</v>
      </c>
      <c r="I45" s="160">
        <v>0.3</v>
      </c>
      <c r="J45" s="331">
        <v>0.14099999999999999</v>
      </c>
      <c r="K45" s="161">
        <v>0.1</v>
      </c>
      <c r="L45" s="298">
        <v>0</v>
      </c>
      <c r="M45" s="160">
        <v>0</v>
      </c>
      <c r="N45" s="298">
        <v>0</v>
      </c>
      <c r="O45" s="160">
        <v>0</v>
      </c>
      <c r="P45" s="298">
        <v>0</v>
      </c>
      <c r="Q45" s="160">
        <v>0</v>
      </c>
      <c r="R45" s="298">
        <f>P45+N45+L45+J45+H45+F45+D45</f>
        <v>296.14099999999996</v>
      </c>
      <c r="S45" s="160">
        <f>E45+G45+I45+K45+M45+O45</f>
        <v>333.40000000000003</v>
      </c>
    </row>
    <row r="46" spans="2:19">
      <c r="B46" s="329" t="s">
        <v>357</v>
      </c>
      <c r="C46" s="329" t="s">
        <v>174</v>
      </c>
      <c r="D46" s="298">
        <v>5478</v>
      </c>
      <c r="E46" s="160">
        <v>9884</v>
      </c>
      <c r="F46" s="298">
        <v>8064</v>
      </c>
      <c r="G46" s="160">
        <v>11165</v>
      </c>
      <c r="H46" s="298">
        <v>207</v>
      </c>
      <c r="I46" s="160">
        <v>1736</v>
      </c>
      <c r="J46" s="298">
        <v>2907</v>
      </c>
      <c r="K46" s="161">
        <v>2335</v>
      </c>
      <c r="L46" s="298">
        <v>201</v>
      </c>
      <c r="M46" s="160">
        <v>193</v>
      </c>
      <c r="N46" s="298">
        <v>142</v>
      </c>
      <c r="O46" s="160">
        <v>1227</v>
      </c>
      <c r="P46" s="298">
        <v>5356</v>
      </c>
      <c r="Q46" s="160">
        <v>0</v>
      </c>
      <c r="R46" s="298">
        <f t="shared" ref="R46:R49" si="2">P46+N46+L46+J46+H46+F46+D46</f>
        <v>22355</v>
      </c>
      <c r="S46" s="160">
        <f>E46+G46+I46+K46+M46+O46</f>
        <v>26540</v>
      </c>
    </row>
    <row r="47" spans="2:19">
      <c r="B47" s="329" t="s">
        <v>358</v>
      </c>
      <c r="C47" s="329" t="s">
        <v>174</v>
      </c>
      <c r="D47" s="298">
        <v>0</v>
      </c>
      <c r="E47" s="160">
        <v>231</v>
      </c>
      <c r="F47" s="298">
        <v>837</v>
      </c>
      <c r="G47" s="160">
        <v>3544</v>
      </c>
      <c r="H47" s="298">
        <v>0</v>
      </c>
      <c r="I47" s="160">
        <v>224</v>
      </c>
      <c r="J47" s="298">
        <v>444</v>
      </c>
      <c r="K47" s="161">
        <v>413</v>
      </c>
      <c r="L47" s="298">
        <v>0</v>
      </c>
      <c r="M47" s="160">
        <v>0</v>
      </c>
      <c r="N47" s="298">
        <v>0</v>
      </c>
      <c r="O47" s="160">
        <v>314</v>
      </c>
      <c r="P47" s="298">
        <v>2178</v>
      </c>
      <c r="Q47" s="160">
        <v>0</v>
      </c>
      <c r="R47" s="298">
        <f t="shared" si="2"/>
        <v>3459</v>
      </c>
      <c r="S47" s="160">
        <f>E47+G47+I47+K47+M47+O47</f>
        <v>4726</v>
      </c>
    </row>
    <row r="48" spans="2:19">
      <c r="B48" s="329" t="s">
        <v>359</v>
      </c>
      <c r="C48" s="329" t="s">
        <v>174</v>
      </c>
      <c r="D48" s="298">
        <v>0</v>
      </c>
      <c r="E48" s="160">
        <v>0</v>
      </c>
      <c r="F48" s="298">
        <v>9949</v>
      </c>
      <c r="G48" s="160">
        <v>11275</v>
      </c>
      <c r="H48" s="298">
        <v>0</v>
      </c>
      <c r="I48" s="160">
        <v>0</v>
      </c>
      <c r="J48" s="298">
        <v>0</v>
      </c>
      <c r="K48" s="160">
        <v>0</v>
      </c>
      <c r="L48" s="298">
        <v>0</v>
      </c>
      <c r="M48" s="160">
        <v>0</v>
      </c>
      <c r="N48" s="298">
        <v>0</v>
      </c>
      <c r="O48" s="160">
        <v>0</v>
      </c>
      <c r="P48" s="298">
        <v>0</v>
      </c>
      <c r="Q48" s="160">
        <v>0</v>
      </c>
      <c r="R48" s="298">
        <f t="shared" si="2"/>
        <v>9949</v>
      </c>
      <c r="S48" s="160">
        <f>E48+G48+I48+K48+M48+O48</f>
        <v>11275</v>
      </c>
    </row>
    <row r="49" spans="2:19">
      <c r="B49" s="329" t="s">
        <v>360</v>
      </c>
      <c r="C49" s="329" t="s">
        <v>174</v>
      </c>
      <c r="D49" s="298">
        <v>0</v>
      </c>
      <c r="E49" s="160">
        <v>0</v>
      </c>
      <c r="F49" s="298">
        <v>0</v>
      </c>
      <c r="G49" s="160">
        <v>0</v>
      </c>
      <c r="H49" s="298">
        <v>0</v>
      </c>
      <c r="I49" s="160">
        <v>0</v>
      </c>
      <c r="J49" s="298">
        <v>0</v>
      </c>
      <c r="K49" s="160">
        <v>0</v>
      </c>
      <c r="L49" s="298">
        <v>0</v>
      </c>
      <c r="M49" s="160">
        <v>0</v>
      </c>
      <c r="N49" s="298">
        <v>0</v>
      </c>
      <c r="O49" s="160">
        <v>0</v>
      </c>
      <c r="P49" s="298">
        <v>0</v>
      </c>
      <c r="Q49" s="160">
        <v>0</v>
      </c>
      <c r="R49" s="298">
        <f t="shared" si="2"/>
        <v>0</v>
      </c>
      <c r="S49" s="160">
        <f>E49+G49+I49+K49+M49+O49</f>
        <v>0</v>
      </c>
    </row>
    <row r="50" spans="2:19">
      <c r="B50" s="330"/>
      <c r="C50" s="330"/>
      <c r="D50" s="106"/>
      <c r="E50" s="100"/>
    </row>
    <row r="51" spans="2:19">
      <c r="B51" s="40"/>
      <c r="C51" s="40"/>
      <c r="D51" s="40"/>
    </row>
    <row r="52" spans="2:19" ht="15" thickBot="1">
      <c r="B52" s="164" t="s">
        <v>361</v>
      </c>
      <c r="C52" s="29"/>
      <c r="D52" s="29"/>
    </row>
    <row r="53" spans="2:19">
      <c r="B53" s="419" t="s">
        <v>362</v>
      </c>
      <c r="C53" s="419"/>
      <c r="D53" s="419"/>
      <c r="E53" s="419"/>
    </row>
    <row r="54" spans="2:19" ht="13.4" customHeight="1">
      <c r="B54" s="420"/>
      <c r="C54" s="420"/>
      <c r="D54" s="420"/>
      <c r="E54" s="420"/>
    </row>
    <row r="55" spans="2:19" ht="99" customHeight="1">
      <c r="B55" s="418" t="s">
        <v>606</v>
      </c>
      <c r="C55" s="418"/>
      <c r="D55" s="418"/>
      <c r="E55" s="418"/>
    </row>
  </sheetData>
  <sheetProtection algorithmName="SHA-512" hashValue="alNtaRUOOBDC2lODu6nCnhL7MQDEtSm8tHNUVzjGGXgKWzRJM5bMsRmVSRx77g5RS8G4bMP/srS+t9bGirC9iw==" saltValue="xUsUoUcD3v0/WySthOoM1g==" spinCount="100000" sheet="1" objects="1" scenarios="1"/>
  <mergeCells count="24">
    <mergeCell ref="B17:I17"/>
    <mergeCell ref="G19:I19"/>
    <mergeCell ref="Y7:AA7"/>
    <mergeCell ref="P43:Q43"/>
    <mergeCell ref="D30:H30"/>
    <mergeCell ref="B41:H41"/>
    <mergeCell ref="S7:U7"/>
    <mergeCell ref="V7:X7"/>
    <mergeCell ref="D19:F19"/>
    <mergeCell ref="J19:L19"/>
    <mergeCell ref="D7:F7"/>
    <mergeCell ref="G7:I7"/>
    <mergeCell ref="J7:L7"/>
    <mergeCell ref="M7:O7"/>
    <mergeCell ref="P7:R7"/>
    <mergeCell ref="J43:K43"/>
    <mergeCell ref="L43:M43"/>
    <mergeCell ref="N43:O43"/>
    <mergeCell ref="R43:S43"/>
    <mergeCell ref="B55:E55"/>
    <mergeCell ref="B53:E54"/>
    <mergeCell ref="D43:E43"/>
    <mergeCell ref="F43:G43"/>
    <mergeCell ref="H43:I43"/>
  </mergeCells>
  <phoneticPr fontId="32" type="noConversion"/>
  <pageMargins left="0.7" right="0.7" top="0.75" bottom="0.75" header="0.3" footer="0.3"/>
  <pageSetup paperSize="9" scale="95" orientation="portrait" horizontalDpi="1200" verticalDpi="1200" r:id="rId1"/>
  <ignoredErrors>
    <ignoredError sqref="P11 M11 S11 Y1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1695-33CB-4019-8065-2F140FD6936A}">
  <sheetPr codeName="Sheet10">
    <tabColor theme="5" tint="0.39997558519241921"/>
    <pageSetUpPr autoPageBreaks="0"/>
  </sheetPr>
  <dimension ref="A1:AD33"/>
  <sheetViews>
    <sheetView zoomScale="73" workbookViewId="0">
      <selection activeCell="D4" sqref="D4"/>
    </sheetView>
  </sheetViews>
  <sheetFormatPr defaultColWidth="8.453125" defaultRowHeight="14.5"/>
  <cols>
    <col min="1" max="1" width="3.453125" style="12" customWidth="1"/>
    <col min="2" max="2" width="22.453125" style="12" customWidth="1"/>
    <col min="3" max="3" width="13.453125" style="12" bestFit="1" customWidth="1"/>
    <col min="4" max="9" width="11.81640625" style="12" customWidth="1"/>
    <col min="10" max="10" width="10.453125" style="12" customWidth="1"/>
    <col min="11" max="11" width="10" style="12" bestFit="1" customWidth="1"/>
    <col min="12" max="12" width="10.81640625" style="12" customWidth="1"/>
    <col min="13" max="13" width="9.453125" style="12" customWidth="1"/>
    <col min="14" max="14" width="9" style="12" customWidth="1"/>
    <col min="15" max="25" width="8.453125" style="12"/>
    <col min="26" max="26" width="10" style="12" bestFit="1" customWidth="1"/>
    <col min="27" max="27" width="8.453125" style="12"/>
    <col min="28" max="28" width="10.1796875" style="12" bestFit="1" customWidth="1"/>
    <col min="29" max="29" width="10" style="12" bestFit="1" customWidth="1"/>
    <col min="30" max="16384" width="8.453125" style="12"/>
  </cols>
  <sheetData>
    <row r="1" spans="1:30">
      <c r="A1" s="11"/>
      <c r="B1" s="11"/>
      <c r="C1" s="19"/>
      <c r="D1" s="19"/>
      <c r="E1" s="19"/>
      <c r="F1" s="19"/>
      <c r="G1" s="11"/>
    </row>
    <row r="2" spans="1:30">
      <c r="A2" s="11"/>
      <c r="B2" s="11"/>
      <c r="C2" s="19"/>
      <c r="D2" s="19"/>
      <c r="E2" s="19"/>
      <c r="G2" s="11"/>
      <c r="L2" s="89"/>
      <c r="M2" s="90"/>
      <c r="O2" s="90" t="s">
        <v>78</v>
      </c>
    </row>
    <row r="3" spans="1:30">
      <c r="A3" s="11"/>
      <c r="B3" s="11"/>
      <c r="C3" s="19"/>
      <c r="D3" s="19"/>
      <c r="E3" s="19"/>
      <c r="F3" s="19"/>
      <c r="G3" s="11"/>
      <c r="M3"/>
    </row>
    <row r="4" spans="1:30">
      <c r="A4" s="11"/>
      <c r="B4" s="11"/>
      <c r="C4" s="19"/>
      <c r="D4" s="19"/>
      <c r="E4" s="19"/>
      <c r="F4" s="19"/>
      <c r="G4" s="11"/>
    </row>
    <row r="5" spans="1:30">
      <c r="A5" s="11"/>
      <c r="B5" s="11"/>
      <c r="C5" s="19"/>
      <c r="D5" s="19"/>
      <c r="E5" s="19"/>
      <c r="F5" s="19"/>
      <c r="G5" s="11"/>
    </row>
    <row r="6" spans="1:30">
      <c r="A6" s="11"/>
      <c r="B6" s="91"/>
      <c r="C6" s="91"/>
      <c r="D6" s="91"/>
      <c r="E6" s="91"/>
      <c r="F6" s="91"/>
      <c r="G6" s="92"/>
      <c r="H6" s="93"/>
    </row>
    <row r="7" spans="1:30">
      <c r="A7" s="30"/>
      <c r="B7" s="75" t="s">
        <v>363</v>
      </c>
      <c r="C7" s="94"/>
      <c r="D7" s="94"/>
      <c r="E7" s="94"/>
      <c r="F7" s="94"/>
      <c r="G7" s="92"/>
      <c r="H7" s="93"/>
    </row>
    <row r="8" spans="1:30">
      <c r="A8" s="30"/>
      <c r="B8" s="75"/>
      <c r="C8" s="94"/>
      <c r="D8" s="94"/>
      <c r="E8" s="94"/>
      <c r="F8" s="94"/>
      <c r="G8" s="92"/>
      <c r="H8" s="93"/>
    </row>
    <row r="9" spans="1:30">
      <c r="A9" s="30"/>
      <c r="B9" s="75" t="s">
        <v>363</v>
      </c>
      <c r="C9" s="75"/>
      <c r="D9" s="399" t="s">
        <v>123</v>
      </c>
      <c r="E9" s="402"/>
      <c r="F9" s="400"/>
      <c r="G9" s="399" t="s">
        <v>124</v>
      </c>
      <c r="H9" s="402"/>
      <c r="I9" s="400"/>
      <c r="J9" s="399" t="s">
        <v>152</v>
      </c>
      <c r="K9" s="402"/>
      <c r="L9" s="400"/>
      <c r="M9" s="399" t="s">
        <v>125</v>
      </c>
      <c r="N9" s="402"/>
      <c r="O9" s="400"/>
      <c r="P9" s="399" t="s">
        <v>218</v>
      </c>
      <c r="Q9" s="402"/>
      <c r="R9" s="400"/>
      <c r="S9" s="399" t="s">
        <v>127</v>
      </c>
      <c r="T9" s="402"/>
      <c r="U9" s="400"/>
      <c r="V9" s="399" t="s">
        <v>128</v>
      </c>
      <c r="W9" s="402"/>
      <c r="X9" s="400"/>
      <c r="Y9" s="399" t="s">
        <v>129</v>
      </c>
      <c r="Z9" s="402"/>
      <c r="AA9" s="400"/>
      <c r="AB9" s="399" t="s">
        <v>121</v>
      </c>
      <c r="AC9" s="402"/>
      <c r="AD9" s="400"/>
    </row>
    <row r="10" spans="1:30">
      <c r="A10" s="30"/>
      <c r="B10" s="155" t="s">
        <v>57</v>
      </c>
      <c r="C10" s="155" t="s">
        <v>107</v>
      </c>
      <c r="D10" s="162" t="s">
        <v>108</v>
      </c>
      <c r="E10" s="171" t="s">
        <v>109</v>
      </c>
      <c r="F10" s="166" t="s">
        <v>141</v>
      </c>
      <c r="G10" s="162" t="s">
        <v>108</v>
      </c>
      <c r="H10" s="171" t="s">
        <v>109</v>
      </c>
      <c r="I10" s="166" t="s">
        <v>141</v>
      </c>
      <c r="J10" s="162" t="s">
        <v>108</v>
      </c>
      <c r="K10" s="171" t="s">
        <v>109</v>
      </c>
      <c r="L10" s="166" t="s">
        <v>141</v>
      </c>
      <c r="M10" s="162" t="s">
        <v>108</v>
      </c>
      <c r="N10" s="171" t="s">
        <v>109</v>
      </c>
      <c r="O10" s="166" t="s">
        <v>141</v>
      </c>
      <c r="P10" s="162" t="s">
        <v>108</v>
      </c>
      <c r="Q10" s="171" t="s">
        <v>109</v>
      </c>
      <c r="R10" s="166" t="s">
        <v>141</v>
      </c>
      <c r="S10" s="162" t="s">
        <v>108</v>
      </c>
      <c r="T10" s="171" t="s">
        <v>109</v>
      </c>
      <c r="U10" s="166" t="s">
        <v>141</v>
      </c>
      <c r="V10" s="162" t="s">
        <v>108</v>
      </c>
      <c r="W10" s="171" t="s">
        <v>109</v>
      </c>
      <c r="X10" s="166" t="s">
        <v>141</v>
      </c>
      <c r="Y10" s="162" t="s">
        <v>108</v>
      </c>
      <c r="Z10" s="171" t="s">
        <v>109</v>
      </c>
      <c r="AA10" s="166" t="s">
        <v>141</v>
      </c>
      <c r="AB10" s="162" t="s">
        <v>108</v>
      </c>
      <c r="AC10" s="171" t="s">
        <v>109</v>
      </c>
      <c r="AD10" s="166" t="s">
        <v>141</v>
      </c>
    </row>
    <row r="11" spans="1:30" ht="19">
      <c r="A11" s="30"/>
      <c r="B11" s="324" t="s">
        <v>364</v>
      </c>
      <c r="C11" s="173" t="s">
        <v>365</v>
      </c>
      <c r="D11" s="349">
        <v>25379</v>
      </c>
      <c r="E11" s="181">
        <v>42434</v>
      </c>
      <c r="F11" s="182">
        <v>62000</v>
      </c>
      <c r="G11" s="349">
        <v>0</v>
      </c>
      <c r="H11" s="181">
        <v>0</v>
      </c>
      <c r="I11" s="182">
        <v>0</v>
      </c>
      <c r="J11" s="349">
        <v>0</v>
      </c>
      <c r="K11" s="182">
        <v>0</v>
      </c>
      <c r="L11" s="182">
        <v>0</v>
      </c>
      <c r="M11" s="262"/>
      <c r="N11" s="181">
        <v>0</v>
      </c>
      <c r="O11" s="182">
        <v>0</v>
      </c>
      <c r="P11" s="349">
        <v>0</v>
      </c>
      <c r="Q11" s="181">
        <v>0</v>
      </c>
      <c r="R11" s="182">
        <v>0</v>
      </c>
      <c r="S11" s="349">
        <v>6751</v>
      </c>
      <c r="T11" s="181">
        <v>9184</v>
      </c>
      <c r="U11" s="182">
        <v>0</v>
      </c>
      <c r="V11" s="349">
        <v>0</v>
      </c>
      <c r="W11" s="181">
        <v>0</v>
      </c>
      <c r="X11" s="182">
        <v>0</v>
      </c>
      <c r="Y11" s="349">
        <v>0</v>
      </c>
      <c r="Z11" s="181">
        <v>0</v>
      </c>
      <c r="AA11" s="182">
        <v>0</v>
      </c>
      <c r="AB11" s="349">
        <f>D11+G11+J11+P11+S11+V11+Y11</f>
        <v>32130</v>
      </c>
      <c r="AC11" s="181">
        <v>51618</v>
      </c>
      <c r="AD11" s="182">
        <v>62000</v>
      </c>
    </row>
    <row r="12" spans="1:30">
      <c r="A12" s="30"/>
      <c r="B12" s="324" t="s">
        <v>366</v>
      </c>
      <c r="C12" s="173" t="s">
        <v>365</v>
      </c>
      <c r="D12" s="349">
        <v>1568502</v>
      </c>
      <c r="E12" s="181">
        <v>2093516</v>
      </c>
      <c r="F12" s="182">
        <v>1971370</v>
      </c>
      <c r="G12" s="349">
        <v>2439742</v>
      </c>
      <c r="H12" s="181">
        <v>2441032</v>
      </c>
      <c r="I12" s="182">
        <v>2248662</v>
      </c>
      <c r="J12" s="349">
        <v>63396</v>
      </c>
      <c r="K12" s="182">
        <v>0</v>
      </c>
      <c r="L12" s="182">
        <v>0</v>
      </c>
      <c r="M12" s="262"/>
      <c r="N12" s="181">
        <v>79702</v>
      </c>
      <c r="O12" s="182">
        <v>172436</v>
      </c>
      <c r="P12" s="349">
        <v>278943</v>
      </c>
      <c r="Q12" s="181">
        <v>192113</v>
      </c>
      <c r="R12" s="182"/>
      <c r="S12" s="349">
        <v>0</v>
      </c>
      <c r="T12" s="181"/>
      <c r="U12" s="182">
        <v>433656</v>
      </c>
      <c r="V12" s="349">
        <v>0</v>
      </c>
      <c r="W12" s="181"/>
      <c r="X12" s="182"/>
      <c r="Y12" s="349">
        <v>0</v>
      </c>
      <c r="Z12" s="181"/>
      <c r="AA12" s="182"/>
      <c r="AB12" s="349">
        <f t="shared" ref="AB12:AB13" si="0">D12+G12+J12+P12+S12+V12+Y12</f>
        <v>4350583</v>
      </c>
      <c r="AC12" s="181">
        <v>4865158</v>
      </c>
      <c r="AD12" s="182">
        <v>5018237</v>
      </c>
    </row>
    <row r="13" spans="1:30">
      <c r="A13" s="30"/>
      <c r="B13" s="324" t="s">
        <v>367</v>
      </c>
      <c r="C13" s="173" t="s">
        <v>365</v>
      </c>
      <c r="D13" s="349">
        <f>D12+D11</f>
        <v>1593881</v>
      </c>
      <c r="E13" s="181">
        <v>2135950</v>
      </c>
      <c r="F13" s="182">
        <v>2033370</v>
      </c>
      <c r="G13" s="349">
        <v>2439742</v>
      </c>
      <c r="H13" s="181">
        <v>2441032</v>
      </c>
      <c r="I13" s="182">
        <v>2248662</v>
      </c>
      <c r="J13" s="349">
        <v>63396</v>
      </c>
      <c r="K13" s="182">
        <v>0</v>
      </c>
      <c r="L13" s="182">
        <v>0</v>
      </c>
      <c r="M13" s="262"/>
      <c r="N13" s="181">
        <v>79702</v>
      </c>
      <c r="O13" s="182">
        <v>172436</v>
      </c>
      <c r="P13" s="349">
        <v>278943</v>
      </c>
      <c r="Q13" s="181">
        <v>192113</v>
      </c>
      <c r="R13" s="182"/>
      <c r="S13" s="349">
        <v>0</v>
      </c>
      <c r="T13" s="181">
        <v>9184</v>
      </c>
      <c r="U13" s="182">
        <v>433656</v>
      </c>
      <c r="V13" s="349">
        <v>0</v>
      </c>
      <c r="W13" s="181"/>
      <c r="X13" s="182"/>
      <c r="Y13" s="349">
        <v>0</v>
      </c>
      <c r="Z13" s="181"/>
      <c r="AA13" s="182"/>
      <c r="AB13" s="349">
        <f t="shared" si="0"/>
        <v>4375962</v>
      </c>
      <c r="AC13" s="181">
        <v>4916776</v>
      </c>
      <c r="AD13" s="182">
        <v>5080237</v>
      </c>
    </row>
    <row r="14" spans="1:30" ht="28.5">
      <c r="A14" s="30"/>
      <c r="B14" s="324" t="s">
        <v>368</v>
      </c>
      <c r="C14" s="173" t="s">
        <v>365</v>
      </c>
      <c r="D14" s="349">
        <v>66973</v>
      </c>
      <c r="E14" s="181">
        <v>510702</v>
      </c>
      <c r="F14" s="182">
        <v>487423</v>
      </c>
      <c r="G14" s="349">
        <v>376096</v>
      </c>
      <c r="H14" s="181">
        <v>394851</v>
      </c>
      <c r="I14" s="182">
        <v>653930</v>
      </c>
      <c r="J14" s="349" t="s">
        <v>369</v>
      </c>
      <c r="K14" s="182"/>
      <c r="L14" s="182"/>
      <c r="M14" s="262"/>
      <c r="N14" s="181" t="s">
        <v>204</v>
      </c>
      <c r="O14" s="185" t="s">
        <v>204</v>
      </c>
      <c r="P14" s="349" t="s">
        <v>204</v>
      </c>
      <c r="Q14" s="185" t="s">
        <v>204</v>
      </c>
      <c r="R14" s="185" t="s">
        <v>204</v>
      </c>
      <c r="S14" s="349" t="s">
        <v>204</v>
      </c>
      <c r="T14" s="185" t="s">
        <v>204</v>
      </c>
      <c r="U14" s="185" t="s">
        <v>204</v>
      </c>
      <c r="V14" s="349" t="s">
        <v>204</v>
      </c>
      <c r="W14" s="185" t="s">
        <v>204</v>
      </c>
      <c r="X14" s="185" t="s">
        <v>204</v>
      </c>
      <c r="Y14" s="349" t="s">
        <v>204</v>
      </c>
      <c r="Z14" s="185" t="s">
        <v>204</v>
      </c>
      <c r="AA14" s="185" t="s">
        <v>204</v>
      </c>
      <c r="AB14" s="349">
        <f>D14+G14</f>
        <v>443069</v>
      </c>
      <c r="AC14" s="181">
        <v>905553</v>
      </c>
      <c r="AD14" s="182">
        <v>1141353</v>
      </c>
    </row>
    <row r="15" spans="1:30" ht="19">
      <c r="A15" s="30"/>
      <c r="B15" s="324" t="s">
        <v>370</v>
      </c>
      <c r="C15" s="173" t="s">
        <v>185</v>
      </c>
      <c r="D15" s="350">
        <f>D14/D13</f>
        <v>4.2018820727519807E-2</v>
      </c>
      <c r="E15" s="183">
        <v>0.24</v>
      </c>
      <c r="F15" s="184">
        <v>0.24</v>
      </c>
      <c r="G15" s="350">
        <f>G14/G13</f>
        <v>0.15415400480870517</v>
      </c>
      <c r="H15" s="183">
        <v>0.16</v>
      </c>
      <c r="I15" s="184">
        <v>0.28999999999999998</v>
      </c>
      <c r="J15" s="350" t="s">
        <v>369</v>
      </c>
      <c r="K15" s="184"/>
      <c r="L15" s="184"/>
      <c r="M15" s="262"/>
      <c r="N15" s="185" t="s">
        <v>204</v>
      </c>
      <c r="O15" s="185" t="s">
        <v>204</v>
      </c>
      <c r="P15" s="350" t="s">
        <v>204</v>
      </c>
      <c r="Q15" s="185" t="s">
        <v>204</v>
      </c>
      <c r="R15" s="185" t="s">
        <v>204</v>
      </c>
      <c r="S15" s="350"/>
      <c r="T15" s="185" t="s">
        <v>204</v>
      </c>
      <c r="U15" s="185" t="s">
        <v>204</v>
      </c>
      <c r="V15" s="350" t="s">
        <v>204</v>
      </c>
      <c r="W15" s="185" t="s">
        <v>204</v>
      </c>
      <c r="X15" s="185" t="s">
        <v>204</v>
      </c>
      <c r="Y15" s="350" t="s">
        <v>204</v>
      </c>
      <c r="Z15" s="185" t="s">
        <v>204</v>
      </c>
      <c r="AA15" s="185" t="s">
        <v>204</v>
      </c>
      <c r="AB15" s="350">
        <f>AB14/AB13</f>
        <v>0.10125065071406013</v>
      </c>
      <c r="AC15" s="183">
        <v>0.18</v>
      </c>
      <c r="AD15" s="184">
        <v>0.22</v>
      </c>
    </row>
    <row r="16" spans="1:30">
      <c r="A16" s="30"/>
      <c r="B16" s="324" t="s">
        <v>371</v>
      </c>
      <c r="C16" s="173" t="s">
        <v>365</v>
      </c>
      <c r="D16" s="349">
        <v>216600</v>
      </c>
      <c r="E16" s="181">
        <v>92230</v>
      </c>
      <c r="F16" s="182">
        <v>56838</v>
      </c>
      <c r="G16" s="349">
        <v>0</v>
      </c>
      <c r="H16" s="181">
        <v>7690</v>
      </c>
      <c r="I16" s="182">
        <v>592408</v>
      </c>
      <c r="J16" s="349">
        <v>0</v>
      </c>
      <c r="K16" s="182"/>
      <c r="L16" s="182"/>
      <c r="M16" s="262"/>
      <c r="N16" s="185" t="s">
        <v>204</v>
      </c>
      <c r="O16" s="185" t="s">
        <v>204</v>
      </c>
      <c r="P16" s="349">
        <v>77221</v>
      </c>
      <c r="Q16" s="181">
        <v>54278</v>
      </c>
      <c r="R16" s="182">
        <v>41910</v>
      </c>
      <c r="S16" s="349" t="s">
        <v>204</v>
      </c>
      <c r="T16" s="185" t="s">
        <v>204</v>
      </c>
      <c r="U16" s="185" t="s">
        <v>204</v>
      </c>
      <c r="V16" s="349" t="s">
        <v>204</v>
      </c>
      <c r="W16" s="185" t="s">
        <v>204</v>
      </c>
      <c r="X16" s="185" t="s">
        <v>204</v>
      </c>
      <c r="Y16" s="349" t="s">
        <v>204</v>
      </c>
      <c r="Z16" s="185" t="s">
        <v>204</v>
      </c>
      <c r="AA16" s="185" t="s">
        <v>204</v>
      </c>
      <c r="AB16" s="349">
        <f>D16+G16+J16+P16</f>
        <v>293821</v>
      </c>
      <c r="AC16" s="181">
        <v>154198</v>
      </c>
      <c r="AD16" s="182">
        <v>691156</v>
      </c>
    </row>
    <row r="17" spans="1:30" ht="28.5">
      <c r="A17" s="30"/>
      <c r="B17" s="324" t="s">
        <v>372</v>
      </c>
      <c r="C17" s="173" t="s">
        <v>365</v>
      </c>
      <c r="D17" s="351" t="s">
        <v>204</v>
      </c>
      <c r="E17" s="185" t="s">
        <v>204</v>
      </c>
      <c r="F17" s="185" t="s">
        <v>204</v>
      </c>
      <c r="G17" s="351" t="s">
        <v>204</v>
      </c>
      <c r="H17" s="185" t="s">
        <v>204</v>
      </c>
      <c r="I17" s="185" t="s">
        <v>204</v>
      </c>
      <c r="J17" s="351" t="s">
        <v>369</v>
      </c>
      <c r="K17" s="185"/>
      <c r="L17" s="185"/>
      <c r="M17" s="351" t="s">
        <v>204</v>
      </c>
      <c r="N17" s="185" t="s">
        <v>204</v>
      </c>
      <c r="O17" s="185" t="s">
        <v>204</v>
      </c>
      <c r="P17" s="351" t="s">
        <v>204</v>
      </c>
      <c r="Q17" s="185" t="s">
        <v>204</v>
      </c>
      <c r="R17" s="185" t="s">
        <v>204</v>
      </c>
      <c r="S17" s="351" t="s">
        <v>204</v>
      </c>
      <c r="T17" s="185" t="s">
        <v>204</v>
      </c>
      <c r="U17" s="185" t="s">
        <v>204</v>
      </c>
      <c r="V17" s="351" t="s">
        <v>204</v>
      </c>
      <c r="W17" s="185" t="s">
        <v>204</v>
      </c>
      <c r="X17" s="185" t="s">
        <v>204</v>
      </c>
      <c r="Y17" s="351" t="s">
        <v>204</v>
      </c>
      <c r="Z17" s="185" t="s">
        <v>204</v>
      </c>
      <c r="AA17" s="185" t="s">
        <v>204</v>
      </c>
      <c r="AB17" s="351" t="s">
        <v>204</v>
      </c>
      <c r="AC17" s="185" t="s">
        <v>204</v>
      </c>
      <c r="AD17" s="185" t="s">
        <v>204</v>
      </c>
    </row>
    <row r="18" spans="1:30" ht="29" thickBot="1">
      <c r="A18" s="30"/>
      <c r="B18" s="352" t="s">
        <v>373</v>
      </c>
      <c r="C18" s="252" t="s">
        <v>225</v>
      </c>
      <c r="D18" s="353">
        <v>0</v>
      </c>
      <c r="E18" s="187" t="s">
        <v>374</v>
      </c>
      <c r="F18" s="299">
        <v>2</v>
      </c>
      <c r="G18" s="353">
        <v>0</v>
      </c>
      <c r="H18" s="300">
        <v>2</v>
      </c>
      <c r="I18" s="299">
        <v>1</v>
      </c>
      <c r="J18" s="353">
        <v>0</v>
      </c>
      <c r="K18" s="299"/>
      <c r="L18" s="299"/>
      <c r="M18" s="353">
        <v>0</v>
      </c>
      <c r="N18" s="300">
        <v>0</v>
      </c>
      <c r="O18" s="299">
        <v>0</v>
      </c>
      <c r="P18" s="353">
        <v>0</v>
      </c>
      <c r="Q18" s="187" t="s">
        <v>375</v>
      </c>
      <c r="R18" s="299">
        <v>0</v>
      </c>
      <c r="S18" s="353">
        <v>0</v>
      </c>
      <c r="T18" s="300">
        <v>0</v>
      </c>
      <c r="U18" s="299">
        <v>0</v>
      </c>
      <c r="V18" s="353">
        <v>0</v>
      </c>
      <c r="W18" s="300">
        <v>0</v>
      </c>
      <c r="X18" s="299">
        <v>0</v>
      </c>
      <c r="Y18" s="353">
        <v>0</v>
      </c>
      <c r="Z18" s="300">
        <v>0</v>
      </c>
      <c r="AA18" s="299">
        <v>0</v>
      </c>
      <c r="AB18" s="353">
        <v>0</v>
      </c>
      <c r="AC18" s="300">
        <v>5</v>
      </c>
      <c r="AD18" s="299">
        <v>3</v>
      </c>
    </row>
    <row r="19" spans="1:30" ht="14.9" customHeight="1">
      <c r="A19" s="30"/>
      <c r="B19" s="405"/>
      <c r="C19" s="405"/>
      <c r="D19" s="405"/>
      <c r="E19" s="405"/>
      <c r="F19" s="405"/>
      <c r="G19" s="405"/>
      <c r="H19" s="405"/>
      <c r="I19" s="405"/>
      <c r="J19" s="405"/>
      <c r="K19" s="405"/>
      <c r="L19" s="405"/>
      <c r="M19" s="405"/>
      <c r="O19" s="36"/>
      <c r="P19" s="36"/>
      <c r="Q19" s="36"/>
      <c r="R19" s="36"/>
      <c r="S19" s="36"/>
    </row>
    <row r="20" spans="1:30">
      <c r="A20" s="30"/>
      <c r="B20" s="97"/>
      <c r="C20" s="98"/>
      <c r="D20" s="98"/>
      <c r="E20" s="98"/>
      <c r="F20" s="98"/>
      <c r="G20" s="99"/>
      <c r="H20" s="100"/>
      <c r="I20" s="100"/>
      <c r="J20" s="100"/>
      <c r="K20" s="100"/>
      <c r="L20" s="100"/>
      <c r="M20" s="100"/>
      <c r="O20" s="36"/>
      <c r="P20" s="36"/>
      <c r="Q20" s="36"/>
      <c r="R20" s="36"/>
      <c r="S20" s="36"/>
    </row>
    <row r="21" spans="1:30" ht="20.9" customHeight="1">
      <c r="A21" s="30"/>
      <c r="B21" s="405" t="s">
        <v>376</v>
      </c>
      <c r="C21" s="405"/>
      <c r="D21" s="405"/>
      <c r="E21" s="405"/>
      <c r="F21" s="405"/>
      <c r="G21" s="405"/>
      <c r="H21" s="405"/>
      <c r="I21" s="405"/>
      <c r="J21" s="405"/>
      <c r="K21" s="405"/>
      <c r="L21" s="405"/>
      <c r="M21" s="405"/>
      <c r="O21" s="36"/>
      <c r="P21" s="36"/>
      <c r="Q21" s="36"/>
      <c r="R21" s="36"/>
      <c r="S21" s="36"/>
    </row>
    <row r="22" spans="1:30">
      <c r="A22" s="30"/>
      <c r="B22" s="405"/>
      <c r="C22" s="405"/>
      <c r="D22" s="405"/>
      <c r="E22" s="405"/>
      <c r="F22" s="405"/>
      <c r="G22" s="405"/>
      <c r="H22" s="405"/>
      <c r="I22" s="405"/>
      <c r="J22" s="405"/>
      <c r="K22" s="405"/>
      <c r="L22" s="405"/>
      <c r="M22" s="405"/>
      <c r="O22" s="36"/>
      <c r="P22" s="36"/>
      <c r="Q22" s="36"/>
      <c r="R22" s="36"/>
      <c r="S22" s="36"/>
    </row>
    <row r="23" spans="1:30" ht="14.9" customHeight="1">
      <c r="A23" s="30"/>
      <c r="B23" s="405"/>
      <c r="C23" s="405"/>
      <c r="D23" s="405"/>
      <c r="E23" s="405"/>
      <c r="F23" s="405"/>
      <c r="G23" s="405"/>
      <c r="H23" s="405"/>
      <c r="I23" s="405"/>
      <c r="J23" s="405"/>
      <c r="K23" s="405"/>
      <c r="L23" s="405"/>
      <c r="M23" s="405"/>
      <c r="O23" s="36"/>
      <c r="P23" s="36"/>
      <c r="Q23" s="36"/>
      <c r="R23" s="36"/>
      <c r="S23" s="36"/>
    </row>
    <row r="24" spans="1:30">
      <c r="A24" s="30"/>
      <c r="B24" s="405"/>
      <c r="C24" s="405"/>
      <c r="D24" s="405"/>
      <c r="E24" s="405"/>
      <c r="F24" s="405"/>
      <c r="G24" s="405"/>
      <c r="H24" s="405"/>
      <c r="I24" s="405"/>
      <c r="J24" s="405"/>
      <c r="K24" s="405"/>
      <c r="L24" s="405"/>
      <c r="M24" s="405"/>
      <c r="O24" s="36"/>
      <c r="P24" s="36"/>
      <c r="Q24" s="36"/>
      <c r="R24" s="36"/>
      <c r="S24" s="36"/>
    </row>
    <row r="25" spans="1:30" ht="38.15" customHeight="1">
      <c r="A25" s="30"/>
      <c r="B25" s="405"/>
      <c r="C25" s="405"/>
      <c r="D25" s="405"/>
      <c r="E25" s="405"/>
      <c r="F25" s="405"/>
      <c r="G25" s="405"/>
      <c r="H25" s="405"/>
      <c r="I25" s="405"/>
      <c r="J25" s="405"/>
      <c r="K25" s="405"/>
      <c r="L25" s="405"/>
      <c r="M25" s="405"/>
      <c r="O25" s="36"/>
      <c r="P25" s="36"/>
      <c r="Q25" s="36"/>
      <c r="R25" s="36"/>
      <c r="S25" s="36"/>
    </row>
    <row r="26" spans="1:30">
      <c r="A26" s="30"/>
      <c r="B26" s="101"/>
      <c r="C26" s="102"/>
      <c r="D26" s="102"/>
      <c r="E26" s="102"/>
      <c r="F26" s="102"/>
      <c r="G26" s="99"/>
      <c r="H26" s="100"/>
      <c r="I26" s="100"/>
      <c r="J26" s="100"/>
      <c r="K26" s="100"/>
      <c r="L26" s="100"/>
      <c r="M26" s="100"/>
      <c r="O26" s="36"/>
      <c r="P26" s="36"/>
      <c r="Q26" s="36"/>
      <c r="R26" s="36"/>
      <c r="S26" s="36"/>
    </row>
    <row r="27" spans="1:30">
      <c r="A27" s="30"/>
      <c r="B27" s="75" t="s">
        <v>377</v>
      </c>
      <c r="C27" s="75"/>
      <c r="D27" s="399" t="s">
        <v>123</v>
      </c>
      <c r="E27" s="402"/>
      <c r="F27" s="400"/>
      <c r="G27" s="399" t="s">
        <v>124</v>
      </c>
      <c r="H27" s="402"/>
      <c r="I27" s="400"/>
      <c r="J27" s="399" t="s">
        <v>121</v>
      </c>
      <c r="K27" s="402"/>
      <c r="L27" s="400"/>
    </row>
    <row r="28" spans="1:30">
      <c r="B28" s="155" t="s">
        <v>67</v>
      </c>
      <c r="C28" s="155" t="s">
        <v>107</v>
      </c>
      <c r="D28" s="162" t="s">
        <v>108</v>
      </c>
      <c r="E28" s="171" t="s">
        <v>109</v>
      </c>
      <c r="F28" s="166" t="s">
        <v>141</v>
      </c>
      <c r="G28" s="162" t="s">
        <v>108</v>
      </c>
      <c r="H28" s="171" t="s">
        <v>109</v>
      </c>
      <c r="I28" s="166" t="s">
        <v>141</v>
      </c>
      <c r="J28" s="162" t="s">
        <v>108</v>
      </c>
      <c r="K28" s="171" t="s">
        <v>109</v>
      </c>
      <c r="L28" s="166" t="s">
        <v>141</v>
      </c>
    </row>
    <row r="29" spans="1:30" ht="19">
      <c r="B29" s="355" t="s">
        <v>378</v>
      </c>
      <c r="C29" s="173" t="s">
        <v>365</v>
      </c>
      <c r="D29" s="298">
        <f>D13+S13+V13</f>
        <v>1593881</v>
      </c>
      <c r="E29" s="181">
        <v>2238549</v>
      </c>
      <c r="F29" s="182">
        <v>2639462</v>
      </c>
      <c r="G29" s="298">
        <f>G13+J13+P13</f>
        <v>2782081</v>
      </c>
      <c r="H29" s="181">
        <v>2678227</v>
      </c>
      <c r="I29" s="182">
        <v>2440775</v>
      </c>
      <c r="J29" s="298">
        <f>D29+G29</f>
        <v>4375962</v>
      </c>
      <c r="K29" s="181">
        <v>4916776</v>
      </c>
      <c r="L29" s="182">
        <v>5080237</v>
      </c>
    </row>
    <row r="30" spans="1:30">
      <c r="B30" s="324" t="s">
        <v>379</v>
      </c>
      <c r="C30" s="172" t="s">
        <v>380</v>
      </c>
      <c r="D30" s="298">
        <v>53556</v>
      </c>
      <c r="E30" s="301">
        <v>132268</v>
      </c>
      <c r="F30" s="302">
        <v>113053</v>
      </c>
      <c r="G30" s="298">
        <v>248108</v>
      </c>
      <c r="H30" s="301">
        <v>160765</v>
      </c>
      <c r="I30" s="302">
        <v>127943</v>
      </c>
      <c r="J30" s="298">
        <f>D30+G30</f>
        <v>301664</v>
      </c>
      <c r="K30" s="301">
        <v>293033</v>
      </c>
      <c r="L30" s="302">
        <v>240966</v>
      </c>
    </row>
    <row r="31" spans="1:30" ht="19.5" thickBot="1">
      <c r="B31" s="352" t="s">
        <v>381</v>
      </c>
      <c r="C31" s="252" t="s">
        <v>382</v>
      </c>
      <c r="D31" s="354">
        <f>D29/D30</f>
        <v>29.761016506087085</v>
      </c>
      <c r="E31" s="303">
        <v>16.920000000000002</v>
      </c>
      <c r="F31" s="304">
        <v>23.35</v>
      </c>
      <c r="G31" s="354">
        <f>G29/G30</f>
        <v>11.213185387008883</v>
      </c>
      <c r="H31" s="303">
        <v>16.66</v>
      </c>
      <c r="I31" s="304">
        <v>19.079999999999998</v>
      </c>
      <c r="J31" s="354">
        <f>J29/J30</f>
        <v>14.506079611753474</v>
      </c>
      <c r="K31" s="303">
        <v>16.77</v>
      </c>
      <c r="L31" s="304">
        <v>21.08</v>
      </c>
    </row>
    <row r="33" spans="2:5" ht="60.65" customHeight="1">
      <c r="B33" s="423" t="s">
        <v>383</v>
      </c>
      <c r="C33" s="423"/>
      <c r="D33" s="423"/>
      <c r="E33" s="423"/>
    </row>
  </sheetData>
  <sheetProtection algorithmName="SHA-512" hashValue="fgEGk8AlvhmyYq+8A6UAQ3FPx9vgLwXitjjvO/OMh4ZLeF9FSTvxU/s8G+Gz3zftm1+sQr3QebGpMy98BHNJLA==" saltValue="vfNDhTC/BOYB86FVK/LvsA==" spinCount="100000" sheet="1" objects="1" scenarios="1"/>
  <mergeCells count="15">
    <mergeCell ref="D27:F27"/>
    <mergeCell ref="G27:I27"/>
    <mergeCell ref="J27:L27"/>
    <mergeCell ref="B33:E33"/>
    <mergeCell ref="S9:U9"/>
    <mergeCell ref="V9:X9"/>
    <mergeCell ref="Y9:AA9"/>
    <mergeCell ref="AB9:AD9"/>
    <mergeCell ref="B21:M25"/>
    <mergeCell ref="B19:M19"/>
    <mergeCell ref="D9:F9"/>
    <mergeCell ref="G9:I9"/>
    <mergeCell ref="M9:O9"/>
    <mergeCell ref="P9:R9"/>
    <mergeCell ref="J9:L9"/>
  </mergeCells>
  <pageMargins left="0.7" right="0.7" top="0.75" bottom="0.75" header="0.3" footer="0.3"/>
  <pageSetup paperSize="9" scale="85"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6BF9-F5BB-4311-ACD6-8F47253BCA60}">
  <sheetPr codeName="Sheet12">
    <tabColor theme="5" tint="0.39997558519241921"/>
    <pageSetUpPr autoPageBreaks="0"/>
  </sheetPr>
  <dimension ref="B2:P29"/>
  <sheetViews>
    <sheetView showGridLines="0" zoomScale="85" zoomScaleNormal="85" workbookViewId="0"/>
  </sheetViews>
  <sheetFormatPr defaultColWidth="8.453125" defaultRowHeight="14.5"/>
  <cols>
    <col min="1" max="1" width="3.453125" style="12" customWidth="1"/>
    <col min="2" max="2" width="39" style="12" customWidth="1"/>
    <col min="3" max="3" width="13.453125" style="12" customWidth="1"/>
    <col min="4" max="15" width="9.81640625" style="12" customWidth="1"/>
    <col min="16" max="16384" width="8.453125" style="12"/>
  </cols>
  <sheetData>
    <row r="2" spans="2:15">
      <c r="G2" s="72" t="s">
        <v>78</v>
      </c>
    </row>
    <row r="7" spans="2:15">
      <c r="B7" s="75" t="s">
        <v>384</v>
      </c>
      <c r="C7" s="75"/>
      <c r="D7" s="399" t="s">
        <v>123</v>
      </c>
      <c r="E7" s="402"/>
      <c r="F7" s="400"/>
      <c r="G7" s="399" t="s">
        <v>124</v>
      </c>
      <c r="H7" s="402"/>
      <c r="I7" s="400"/>
      <c r="J7" s="399" t="s">
        <v>121</v>
      </c>
      <c r="K7" s="402"/>
      <c r="L7" s="400"/>
    </row>
    <row r="8" spans="2:15">
      <c r="B8" s="155" t="s">
        <v>385</v>
      </c>
      <c r="C8" s="155" t="s">
        <v>234</v>
      </c>
      <c r="D8" s="162" t="s">
        <v>108</v>
      </c>
      <c r="E8" s="171" t="s">
        <v>109</v>
      </c>
      <c r="F8" s="166" t="s">
        <v>141</v>
      </c>
      <c r="G8" s="162" t="s">
        <v>108</v>
      </c>
      <c r="H8" s="171" t="s">
        <v>109</v>
      </c>
      <c r="I8" s="166" t="s">
        <v>141</v>
      </c>
      <c r="J8" s="162" t="s">
        <v>108</v>
      </c>
      <c r="K8" s="171" t="s">
        <v>109</v>
      </c>
      <c r="L8" s="166" t="s">
        <v>141</v>
      </c>
    </row>
    <row r="9" spans="2:15">
      <c r="B9" s="370" t="s">
        <v>386</v>
      </c>
      <c r="C9" s="370" t="s">
        <v>387</v>
      </c>
      <c r="D9" s="371">
        <v>3369289</v>
      </c>
      <c r="E9" s="372">
        <v>4263579</v>
      </c>
      <c r="F9" s="372">
        <v>3286910</v>
      </c>
      <c r="G9" s="371">
        <v>3610195</v>
      </c>
      <c r="H9" s="372">
        <v>3471488</v>
      </c>
      <c r="I9" s="372">
        <v>3701135</v>
      </c>
      <c r="J9" s="371">
        <f>D9+G9</f>
        <v>6979484</v>
      </c>
      <c r="K9" s="372">
        <v>7735067</v>
      </c>
      <c r="L9" s="372">
        <v>6988045</v>
      </c>
    </row>
    <row r="10" spans="2:15" customFormat="1">
      <c r="B10" s="361"/>
      <c r="C10" s="361"/>
      <c r="D10" s="12"/>
      <c r="E10" s="12"/>
      <c r="F10" s="12"/>
      <c r="G10" s="12"/>
      <c r="H10" s="12"/>
      <c r="I10" s="12"/>
      <c r="J10" s="12"/>
      <c r="K10" s="12"/>
      <c r="L10" s="12"/>
      <c r="M10" s="12"/>
      <c r="N10" s="12"/>
      <c r="O10" s="12"/>
    </row>
    <row r="11" spans="2:15">
      <c r="B11" s="177" t="s">
        <v>388</v>
      </c>
    </row>
    <row r="13" spans="2:15">
      <c r="B13" s="75" t="s">
        <v>389</v>
      </c>
      <c r="C13" s="75"/>
    </row>
    <row r="14" spans="2:15">
      <c r="B14" s="180" t="s">
        <v>62</v>
      </c>
      <c r="C14" s="180"/>
      <c r="D14" s="425" t="s">
        <v>107</v>
      </c>
      <c r="E14" s="425"/>
      <c r="F14" s="425" t="s">
        <v>390</v>
      </c>
      <c r="G14" s="425"/>
      <c r="H14" s="425" t="s">
        <v>391</v>
      </c>
      <c r="I14" s="425"/>
      <c r="J14" s="425" t="s">
        <v>392</v>
      </c>
      <c r="K14" s="425"/>
      <c r="L14" s="425" t="s">
        <v>393</v>
      </c>
      <c r="M14" s="425"/>
      <c r="N14" s="425" t="s">
        <v>394</v>
      </c>
      <c r="O14" s="425"/>
    </row>
    <row r="15" spans="2:15">
      <c r="B15" s="83" t="s">
        <v>395</v>
      </c>
      <c r="C15" s="83"/>
      <c r="D15" s="178">
        <v>0</v>
      </c>
      <c r="E15" s="84"/>
      <c r="F15" s="85" t="s">
        <v>117</v>
      </c>
      <c r="G15" s="84"/>
      <c r="H15" s="85" t="s">
        <v>124</v>
      </c>
      <c r="I15" s="84"/>
      <c r="J15" s="85" t="s">
        <v>124</v>
      </c>
      <c r="K15" s="84"/>
      <c r="L15" s="85" t="s">
        <v>124</v>
      </c>
      <c r="M15" s="84"/>
      <c r="N15" s="85" t="s">
        <v>124</v>
      </c>
      <c r="O15" s="84"/>
    </row>
    <row r="16" spans="2:15">
      <c r="B16" s="83" t="s">
        <v>396</v>
      </c>
      <c r="C16" s="83"/>
      <c r="D16" s="178">
        <v>0</v>
      </c>
      <c r="E16" s="84"/>
      <c r="F16" s="85" t="s">
        <v>397</v>
      </c>
      <c r="G16" s="84"/>
      <c r="H16" s="85" t="s">
        <v>397</v>
      </c>
      <c r="I16" s="84"/>
      <c r="J16" s="85" t="s">
        <v>397</v>
      </c>
      <c r="K16" s="84"/>
      <c r="L16" s="85" t="s">
        <v>397</v>
      </c>
      <c r="M16" s="84"/>
      <c r="N16" s="85" t="s">
        <v>397</v>
      </c>
      <c r="O16" s="84"/>
    </row>
    <row r="17" spans="2:16">
      <c r="B17" s="83" t="s">
        <v>398</v>
      </c>
      <c r="C17" s="83"/>
      <c r="D17" s="178">
        <v>0</v>
      </c>
      <c r="E17" s="84"/>
      <c r="F17" s="85" t="s">
        <v>399</v>
      </c>
      <c r="G17" s="84"/>
      <c r="H17" s="85" t="s">
        <v>400</v>
      </c>
      <c r="I17" s="84"/>
      <c r="J17" s="85" t="s">
        <v>400</v>
      </c>
      <c r="K17" s="84"/>
      <c r="L17" s="85" t="s">
        <v>400</v>
      </c>
      <c r="M17" s="84"/>
      <c r="N17" s="85" t="s">
        <v>399</v>
      </c>
      <c r="O17" s="84"/>
    </row>
    <row r="18" spans="2:16">
      <c r="B18" s="83" t="s">
        <v>401</v>
      </c>
      <c r="C18" s="83"/>
      <c r="D18" s="178">
        <v>0</v>
      </c>
      <c r="E18" s="84"/>
      <c r="F18" s="85" t="s">
        <v>402</v>
      </c>
      <c r="G18" s="84"/>
      <c r="H18" s="85" t="s">
        <v>403</v>
      </c>
      <c r="I18" s="84"/>
      <c r="J18" s="85" t="s">
        <v>403</v>
      </c>
      <c r="K18" s="84"/>
      <c r="L18" s="85" t="s">
        <v>403</v>
      </c>
      <c r="M18" s="84"/>
      <c r="N18" s="85" t="s">
        <v>404</v>
      </c>
      <c r="O18" s="84"/>
    </row>
    <row r="19" spans="2:16" ht="14.9" customHeight="1">
      <c r="B19" s="83" t="s">
        <v>405</v>
      </c>
      <c r="C19" s="83"/>
      <c r="D19" s="85" t="s">
        <v>406</v>
      </c>
      <c r="E19" s="85"/>
      <c r="F19" s="85" t="s">
        <v>407</v>
      </c>
      <c r="G19" s="85"/>
      <c r="H19" s="426" t="s">
        <v>408</v>
      </c>
      <c r="I19" s="426"/>
      <c r="J19" s="424" t="s">
        <v>409</v>
      </c>
      <c r="K19" s="424"/>
      <c r="L19" s="424" t="s">
        <v>410</v>
      </c>
      <c r="M19" s="424"/>
      <c r="N19" s="424" t="s">
        <v>411</v>
      </c>
      <c r="O19" s="424"/>
      <c r="P19"/>
    </row>
    <row r="20" spans="2:16" ht="14.5" customHeight="1">
      <c r="B20" s="356" t="s">
        <v>412</v>
      </c>
      <c r="C20" s="83"/>
      <c r="D20" s="85" t="s">
        <v>406</v>
      </c>
      <c r="E20" s="85"/>
      <c r="F20" s="85" t="s">
        <v>413</v>
      </c>
      <c r="G20" s="85"/>
      <c r="H20" s="85" t="s">
        <v>414</v>
      </c>
      <c r="I20" s="85"/>
      <c r="J20" s="85" t="s">
        <v>415</v>
      </c>
      <c r="K20" s="85"/>
      <c r="L20" s="85" t="s">
        <v>416</v>
      </c>
      <c r="M20" s="85"/>
      <c r="N20" s="85" t="s">
        <v>417</v>
      </c>
      <c r="O20" s="85"/>
      <c r="P20"/>
    </row>
    <row r="21" spans="2:16" ht="20">
      <c r="B21" s="83" t="s">
        <v>418</v>
      </c>
      <c r="C21" s="83"/>
      <c r="D21" s="85" t="s">
        <v>387</v>
      </c>
      <c r="E21" s="85"/>
      <c r="F21" s="85">
        <f>D9</f>
        <v>3369289</v>
      </c>
      <c r="G21" s="85"/>
      <c r="H21" s="85">
        <v>1747991</v>
      </c>
      <c r="I21" s="85"/>
      <c r="J21" s="85">
        <v>1131203</v>
      </c>
      <c r="K21" s="85"/>
      <c r="L21" s="85">
        <v>731001</v>
      </c>
      <c r="M21" s="85"/>
      <c r="N21" s="85">
        <v>0</v>
      </c>
      <c r="O21" s="85"/>
      <c r="P21"/>
    </row>
    <row r="22" spans="2:16" ht="28.4" customHeight="1">
      <c r="B22" s="83" t="s">
        <v>419</v>
      </c>
      <c r="C22" s="83"/>
      <c r="D22" s="179">
        <v>0</v>
      </c>
      <c r="E22" s="179"/>
      <c r="F22" s="85" t="s">
        <v>420</v>
      </c>
      <c r="G22" s="85"/>
      <c r="H22" s="85" t="s">
        <v>421</v>
      </c>
      <c r="I22" s="85"/>
      <c r="J22" s="85" t="s">
        <v>421</v>
      </c>
      <c r="K22" s="85"/>
      <c r="L22" s="85" t="s">
        <v>421</v>
      </c>
      <c r="M22" s="85"/>
      <c r="N22" s="85" t="s">
        <v>422</v>
      </c>
      <c r="O22" s="85"/>
      <c r="P22"/>
    </row>
    <row r="23" spans="2:16">
      <c r="B23" s="83" t="s">
        <v>423</v>
      </c>
      <c r="C23" s="83"/>
      <c r="D23" s="85" t="s">
        <v>424</v>
      </c>
      <c r="E23" s="84"/>
      <c r="F23" s="85">
        <v>45717</v>
      </c>
      <c r="G23" s="85"/>
      <c r="H23" s="85">
        <v>45839</v>
      </c>
      <c r="I23" s="85"/>
      <c r="J23" s="85">
        <v>45839</v>
      </c>
      <c r="K23" s="85"/>
      <c r="L23" s="85">
        <v>45839</v>
      </c>
      <c r="M23" s="85"/>
      <c r="N23" s="85">
        <v>45839</v>
      </c>
      <c r="O23" s="85"/>
      <c r="P23"/>
    </row>
    <row r="24" spans="2:16">
      <c r="B24" s="83" t="s">
        <v>425</v>
      </c>
      <c r="C24" s="83"/>
      <c r="D24" s="424" t="s">
        <v>426</v>
      </c>
      <c r="E24" s="424"/>
      <c r="F24" s="424" t="s">
        <v>427</v>
      </c>
      <c r="G24" s="424"/>
      <c r="H24" s="426" t="s">
        <v>427</v>
      </c>
      <c r="I24" s="426"/>
      <c r="J24" s="424" t="s">
        <v>427</v>
      </c>
      <c r="K24" s="424"/>
      <c r="L24" s="424" t="s">
        <v>427</v>
      </c>
      <c r="M24" s="424"/>
      <c r="N24" s="424" t="s">
        <v>427</v>
      </c>
      <c r="O24" s="424"/>
      <c r="P24"/>
    </row>
    <row r="25" spans="2:16">
      <c r="B25" s="83" t="s">
        <v>428</v>
      </c>
      <c r="C25" s="83"/>
      <c r="D25" s="85" t="s">
        <v>426</v>
      </c>
      <c r="E25" s="85"/>
      <c r="F25" s="85" t="s">
        <v>204</v>
      </c>
      <c r="G25" s="85"/>
      <c r="H25" s="85" t="s">
        <v>204</v>
      </c>
      <c r="I25" s="85"/>
      <c r="J25" s="85" t="s">
        <v>204</v>
      </c>
      <c r="K25" s="85"/>
      <c r="L25" s="85" t="s">
        <v>204</v>
      </c>
      <c r="M25" s="85"/>
      <c r="N25" s="85" t="s">
        <v>204</v>
      </c>
      <c r="O25" s="85"/>
      <c r="P25"/>
    </row>
    <row r="26" spans="2:16" ht="21.65" customHeight="1">
      <c r="B26" s="83" t="s">
        <v>429</v>
      </c>
      <c r="C26" s="83"/>
      <c r="D26" s="424" t="s">
        <v>426</v>
      </c>
      <c r="E26" s="424"/>
      <c r="F26" s="424" t="s">
        <v>430</v>
      </c>
      <c r="G26" s="424"/>
      <c r="H26" s="424" t="s">
        <v>430</v>
      </c>
      <c r="I26" s="424"/>
      <c r="J26" s="424" t="s">
        <v>430</v>
      </c>
      <c r="K26" s="424"/>
      <c r="L26" s="424" t="s">
        <v>430</v>
      </c>
      <c r="M26" s="424"/>
      <c r="N26" s="85" t="s">
        <v>431</v>
      </c>
      <c r="O26" s="84"/>
    </row>
    <row r="27" spans="2:16" ht="18.5" thickBot="1">
      <c r="B27" s="373" t="s">
        <v>432</v>
      </c>
      <c r="C27" s="373"/>
      <c r="D27" s="86" t="s">
        <v>225</v>
      </c>
      <c r="E27" s="87"/>
      <c r="F27" s="291">
        <v>0</v>
      </c>
      <c r="G27" s="87"/>
      <c r="H27" s="291">
        <v>0</v>
      </c>
      <c r="I27" s="87"/>
      <c r="J27" s="291">
        <v>0</v>
      </c>
      <c r="K27" s="87"/>
      <c r="L27" s="291">
        <v>0</v>
      </c>
      <c r="M27" s="87"/>
      <c r="N27" s="291">
        <v>0</v>
      </c>
      <c r="O27" s="87"/>
    </row>
    <row r="29" spans="2:16">
      <c r="B29" s="177" t="s">
        <v>634</v>
      </c>
    </row>
  </sheetData>
  <sheetProtection algorithmName="SHA-512" hashValue="UVYzF2NdM+fIN++X+5TDFo/my7BuSmtE+EFt1EQAVdLcVRSh4cKsI8rtYDy5lFj1ujHGUpOPmBfZ1TQWigBVHQ==" saltValue="hX2vd3G7uYY+HLdIVBA9wA==" spinCount="100000" sheet="1" objects="1" scenarios="1"/>
  <mergeCells count="24">
    <mergeCell ref="J26:K26"/>
    <mergeCell ref="L26:M26"/>
    <mergeCell ref="N24:O24"/>
    <mergeCell ref="L24:M24"/>
    <mergeCell ref="J7:L7"/>
    <mergeCell ref="J24:K24"/>
    <mergeCell ref="J19:K19"/>
    <mergeCell ref="J14:K14"/>
    <mergeCell ref="L14:M14"/>
    <mergeCell ref="L19:M19"/>
    <mergeCell ref="N14:O14"/>
    <mergeCell ref="N19:O19"/>
    <mergeCell ref="D7:F7"/>
    <mergeCell ref="G7:I7"/>
    <mergeCell ref="D24:E24"/>
    <mergeCell ref="F24:G24"/>
    <mergeCell ref="D26:E26"/>
    <mergeCell ref="H14:I14"/>
    <mergeCell ref="H19:I19"/>
    <mergeCell ref="D14:E14"/>
    <mergeCell ref="F14:G14"/>
    <mergeCell ref="F26:G26"/>
    <mergeCell ref="H24:I24"/>
    <mergeCell ref="H26:I2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0F32-1003-4252-8872-701CB491CB02}">
  <sheetPr codeName="Sheet14">
    <tabColor theme="5" tint="0.39997558519241921"/>
    <pageSetUpPr autoPageBreaks="0"/>
  </sheetPr>
  <dimension ref="B2:Q21"/>
  <sheetViews>
    <sheetView showGridLines="0" zoomScaleNormal="100" workbookViewId="0">
      <selection activeCell="B13" sqref="B13:G13"/>
    </sheetView>
  </sheetViews>
  <sheetFormatPr defaultColWidth="10.453125" defaultRowHeight="14.5"/>
  <cols>
    <col min="1" max="1" width="3.453125" style="12" customWidth="1"/>
    <col min="2" max="2" width="47.54296875" style="12" customWidth="1"/>
    <col min="3" max="3" width="11.54296875" style="12" customWidth="1"/>
    <col min="4" max="15" width="9.54296875" style="12" customWidth="1"/>
    <col min="16" max="16384" width="10.453125" style="12"/>
  </cols>
  <sheetData>
    <row r="2" spans="2:17">
      <c r="G2" s="72" t="s">
        <v>78</v>
      </c>
    </row>
    <row r="7" spans="2:17">
      <c r="B7" s="81" t="s">
        <v>433</v>
      </c>
      <c r="C7" s="81"/>
      <c r="D7" s="399" t="s">
        <v>635</v>
      </c>
      <c r="E7" s="400"/>
      <c r="F7" s="399" t="s">
        <v>124</v>
      </c>
      <c r="G7" s="400"/>
      <c r="H7" s="399" t="s">
        <v>152</v>
      </c>
      <c r="I7" s="400"/>
      <c r="J7" s="399" t="s">
        <v>218</v>
      </c>
      <c r="K7" s="400"/>
      <c r="L7" s="399" t="s">
        <v>127</v>
      </c>
      <c r="M7" s="400"/>
      <c r="N7" s="399" t="s">
        <v>434</v>
      </c>
      <c r="O7" s="400"/>
      <c r="P7" s="399" t="s">
        <v>121</v>
      </c>
      <c r="Q7" s="400"/>
    </row>
    <row r="8" spans="2:17">
      <c r="B8" s="155" t="s">
        <v>435</v>
      </c>
      <c r="C8" s="155" t="s">
        <v>107</v>
      </c>
      <c r="D8" s="162" t="s">
        <v>108</v>
      </c>
      <c r="E8" s="163" t="s">
        <v>109</v>
      </c>
      <c r="F8" s="162" t="s">
        <v>108</v>
      </c>
      <c r="G8" s="163" t="s">
        <v>109</v>
      </c>
      <c r="H8" s="162" t="s">
        <v>108</v>
      </c>
      <c r="I8" s="163" t="s">
        <v>109</v>
      </c>
      <c r="J8" s="162" t="s">
        <v>108</v>
      </c>
      <c r="K8" s="163" t="s">
        <v>109</v>
      </c>
      <c r="L8" s="162" t="s">
        <v>108</v>
      </c>
      <c r="M8" s="163" t="s">
        <v>109</v>
      </c>
      <c r="N8" s="162" t="s">
        <v>108</v>
      </c>
      <c r="O8" s="163" t="s">
        <v>109</v>
      </c>
      <c r="P8" s="162" t="s">
        <v>108</v>
      </c>
      <c r="Q8" s="163" t="s">
        <v>109</v>
      </c>
    </row>
    <row r="9" spans="2:17">
      <c r="B9" s="73" t="s">
        <v>436</v>
      </c>
      <c r="C9" s="73" t="s">
        <v>437</v>
      </c>
      <c r="D9" s="331">
        <f>528.5689+82.8126</f>
        <v>611.38149999999996</v>
      </c>
      <c r="E9" s="160">
        <v>542</v>
      </c>
      <c r="F9" s="331">
        <f>1307.15+644.482</f>
        <v>1951.6320000000001</v>
      </c>
      <c r="G9" s="160">
        <v>1442</v>
      </c>
      <c r="H9" s="331">
        <f>241.77+1.61</f>
        <v>243.38000000000002</v>
      </c>
      <c r="I9" s="160">
        <v>0</v>
      </c>
      <c r="J9" s="331">
        <f>122.4312+28.313</f>
        <v>150.74420000000001</v>
      </c>
      <c r="K9" s="160">
        <f>122.4312+28.163</f>
        <v>150.5942</v>
      </c>
      <c r="L9" s="331">
        <f>40.1007+99.3443</f>
        <v>139.44499999999999</v>
      </c>
      <c r="M9" s="160">
        <v>40</v>
      </c>
      <c r="N9" s="331">
        <f>4.304+3.942+160.938+7.88+9.777+0.4</f>
        <v>187.24099999999999</v>
      </c>
      <c r="O9" s="160">
        <v>194</v>
      </c>
      <c r="P9" s="331">
        <f>D9+F9+H9+J9+L9+N9</f>
        <v>3283.8237000000004</v>
      </c>
      <c r="Q9" s="160">
        <f>E9+G9+K9+M9+O9</f>
        <v>2368.5942</v>
      </c>
    </row>
    <row r="10" spans="2:17" ht="15" thickBot="1">
      <c r="B10" s="363" t="s">
        <v>438</v>
      </c>
      <c r="C10" s="74" t="s">
        <v>437</v>
      </c>
      <c r="D10" s="366">
        <v>82.81</v>
      </c>
      <c r="E10" s="292">
        <v>64</v>
      </c>
      <c r="F10" s="366">
        <v>644.48</v>
      </c>
      <c r="G10" s="292">
        <v>687</v>
      </c>
      <c r="H10" s="366">
        <v>1.61</v>
      </c>
      <c r="I10" s="292">
        <v>0</v>
      </c>
      <c r="J10" s="366">
        <v>28.312999999999999</v>
      </c>
      <c r="K10" s="292">
        <v>28.16</v>
      </c>
      <c r="L10" s="366">
        <v>99.34</v>
      </c>
      <c r="M10" s="292">
        <v>99.8</v>
      </c>
      <c r="N10" s="366">
        <f>3.942+7.88+0.4</f>
        <v>12.222</v>
      </c>
      <c r="O10" s="292">
        <v>0</v>
      </c>
      <c r="P10" s="366">
        <f>D10+F10+H10+J10+L10+N10</f>
        <v>868.77499999999998</v>
      </c>
      <c r="Q10" s="292">
        <f>E10+G10+K10+M10+O10</f>
        <v>878.95999999999992</v>
      </c>
    </row>
    <row r="11" spans="2:17">
      <c r="B11" s="427" t="s">
        <v>439</v>
      </c>
      <c r="C11" s="427"/>
      <c r="D11" s="427"/>
      <c r="E11" s="427"/>
      <c r="F11" s="427"/>
      <c r="G11" s="427"/>
    </row>
    <row r="12" spans="2:17">
      <c r="B12" s="427" t="s">
        <v>636</v>
      </c>
      <c r="C12" s="427"/>
      <c r="D12" s="427"/>
      <c r="E12" s="427"/>
      <c r="F12" s="427"/>
      <c r="G12" s="427"/>
    </row>
    <row r="13" spans="2:17">
      <c r="B13" s="427" t="s">
        <v>440</v>
      </c>
      <c r="C13" s="427"/>
      <c r="D13" s="427"/>
      <c r="E13" s="427"/>
      <c r="F13" s="427"/>
      <c r="G13" s="427"/>
    </row>
    <row r="14" spans="2:17">
      <c r="B14" s="364"/>
    </row>
    <row r="15" spans="2:17">
      <c r="B15" s="81" t="s">
        <v>441</v>
      </c>
      <c r="C15" s="81"/>
      <c r="D15" s="402" t="s">
        <v>442</v>
      </c>
      <c r="E15" s="402"/>
      <c r="F15" s="402"/>
      <c r="G15" s="402"/>
      <c r="H15" s="402"/>
    </row>
    <row r="16" spans="2:17">
      <c r="B16" s="165" t="s">
        <v>443</v>
      </c>
      <c r="C16" s="155" t="s">
        <v>107</v>
      </c>
      <c r="D16" s="166" t="s">
        <v>108</v>
      </c>
      <c r="E16" s="163" t="s">
        <v>109</v>
      </c>
      <c r="F16" s="163" t="s">
        <v>141</v>
      </c>
      <c r="G16" s="163" t="s">
        <v>160</v>
      </c>
      <c r="H16" s="163" t="s">
        <v>161</v>
      </c>
    </row>
    <row r="17" spans="2:11">
      <c r="B17" s="361" t="s">
        <v>436</v>
      </c>
      <c r="C17" s="73" t="s">
        <v>437</v>
      </c>
      <c r="D17" s="298">
        <f>P9</f>
        <v>3283.8237000000004</v>
      </c>
      <c r="E17" s="169">
        <v>2458</v>
      </c>
      <c r="F17" s="169">
        <v>2188</v>
      </c>
      <c r="G17" s="169">
        <v>2145</v>
      </c>
      <c r="H17" s="169">
        <v>1960</v>
      </c>
    </row>
    <row r="18" spans="2:11">
      <c r="B18" s="361" t="s">
        <v>438</v>
      </c>
      <c r="C18" s="73" t="s">
        <v>437</v>
      </c>
      <c r="D18" s="298">
        <f>P10</f>
        <v>868.77499999999998</v>
      </c>
      <c r="E18" s="168">
        <v>1080</v>
      </c>
      <c r="F18" s="168">
        <v>747</v>
      </c>
      <c r="G18" s="168">
        <v>680</v>
      </c>
      <c r="H18" s="168">
        <v>687</v>
      </c>
    </row>
    <row r="19" spans="2:11" ht="15" thickBot="1">
      <c r="B19" s="361" t="s">
        <v>444</v>
      </c>
      <c r="C19" s="73" t="s">
        <v>437</v>
      </c>
      <c r="D19" s="362">
        <v>337735</v>
      </c>
      <c r="E19" s="168">
        <v>430707</v>
      </c>
      <c r="F19" s="168">
        <v>341321</v>
      </c>
      <c r="G19" s="168">
        <v>0</v>
      </c>
      <c r="H19" s="200">
        <v>0</v>
      </c>
    </row>
    <row r="20" spans="2:11">
      <c r="B20" s="365"/>
      <c r="C20" s="365"/>
      <c r="D20" s="365"/>
      <c r="E20" s="365"/>
      <c r="F20" s="365"/>
      <c r="G20" s="365"/>
    </row>
    <row r="21" spans="2:11">
      <c r="J21" s="346"/>
      <c r="K21" s="346"/>
    </row>
  </sheetData>
  <sheetProtection algorithmName="SHA-512" hashValue="oARLHNNYfApVtQW25CB/8hfpxcz8bf2VdRGCFpYGOIubg7nUKmya68irpKLIOO3dDuv5uJgfPVoxwYCBhNDbEA==" saltValue="IMV+ylc6BYlvTahp20nAog==" spinCount="100000" sheet="1" objects="1" scenarios="1"/>
  <mergeCells count="11">
    <mergeCell ref="D15:H15"/>
    <mergeCell ref="J7:K7"/>
    <mergeCell ref="N7:O7"/>
    <mergeCell ref="B12:G12"/>
    <mergeCell ref="B13:G13"/>
    <mergeCell ref="P7:Q7"/>
    <mergeCell ref="F7:G7"/>
    <mergeCell ref="B11:G11"/>
    <mergeCell ref="D7:E7"/>
    <mergeCell ref="H7:I7"/>
    <mergeCell ref="L7:M7"/>
  </mergeCells>
  <phoneticPr fontId="32" type="noConversion"/>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0601-9597-4317-B080-972AEEF24ACE}">
  <sheetPr codeName="Sheet15">
    <tabColor theme="5" tint="0.39997558519241921"/>
    <pageSetUpPr autoPageBreaks="0"/>
  </sheetPr>
  <dimension ref="B2:AD30"/>
  <sheetViews>
    <sheetView zoomScaleNormal="100" workbookViewId="0"/>
  </sheetViews>
  <sheetFormatPr defaultColWidth="8.453125" defaultRowHeight="14.5"/>
  <cols>
    <col min="1" max="1" width="3.453125" style="12" customWidth="1"/>
    <col min="2" max="2" width="38.453125" style="12" customWidth="1"/>
    <col min="3" max="3" width="10.1796875" style="12" customWidth="1"/>
    <col min="4" max="4" width="12.81640625" style="12" customWidth="1"/>
    <col min="5" max="27" width="8.1796875" style="12" customWidth="1"/>
    <col min="28" max="16384" width="8.453125" style="12"/>
  </cols>
  <sheetData>
    <row r="2" spans="2:30">
      <c r="G2" s="72" t="s">
        <v>78</v>
      </c>
      <c r="H2" s="72"/>
    </row>
    <row r="7" spans="2:30">
      <c r="B7" s="75" t="s">
        <v>445</v>
      </c>
      <c r="C7" s="75"/>
      <c r="D7" s="399" t="s">
        <v>123</v>
      </c>
      <c r="E7" s="402"/>
      <c r="F7" s="400"/>
      <c r="G7" s="399" t="s">
        <v>124</v>
      </c>
      <c r="H7" s="402"/>
      <c r="I7" s="400"/>
      <c r="J7" s="399" t="s">
        <v>152</v>
      </c>
      <c r="K7" s="402"/>
      <c r="L7" s="400"/>
      <c r="M7" s="399" t="s">
        <v>125</v>
      </c>
      <c r="N7" s="402"/>
      <c r="O7" s="400"/>
      <c r="P7" s="399" t="s">
        <v>218</v>
      </c>
      <c r="Q7" s="402"/>
      <c r="R7" s="400"/>
      <c r="S7" s="399" t="s">
        <v>127</v>
      </c>
      <c r="T7" s="402"/>
      <c r="U7" s="400"/>
      <c r="V7" s="399" t="s">
        <v>128</v>
      </c>
      <c r="W7" s="402"/>
      <c r="X7" s="400"/>
      <c r="Y7" s="399" t="s">
        <v>129</v>
      </c>
      <c r="Z7" s="402"/>
      <c r="AA7" s="400"/>
      <c r="AB7" s="399" t="s">
        <v>121</v>
      </c>
      <c r="AC7" s="402"/>
      <c r="AD7" s="400"/>
    </row>
    <row r="8" spans="2:30">
      <c r="B8" s="155" t="s">
        <v>67</v>
      </c>
      <c r="C8" s="155" t="s">
        <v>107</v>
      </c>
      <c r="D8" s="162" t="s">
        <v>108</v>
      </c>
      <c r="E8" s="171" t="s">
        <v>109</v>
      </c>
      <c r="F8" s="166" t="s">
        <v>141</v>
      </c>
      <c r="G8" s="162" t="s">
        <v>108</v>
      </c>
      <c r="H8" s="171" t="s">
        <v>109</v>
      </c>
      <c r="I8" s="166" t="s">
        <v>141</v>
      </c>
      <c r="J8" s="162" t="s">
        <v>108</v>
      </c>
      <c r="K8" s="171" t="s">
        <v>109</v>
      </c>
      <c r="L8" s="166" t="s">
        <v>141</v>
      </c>
      <c r="M8" s="162" t="s">
        <v>108</v>
      </c>
      <c r="N8" s="171" t="s">
        <v>109</v>
      </c>
      <c r="O8" s="166" t="s">
        <v>141</v>
      </c>
      <c r="P8" s="162" t="s">
        <v>108</v>
      </c>
      <c r="Q8" s="171" t="s">
        <v>109</v>
      </c>
      <c r="R8" s="166" t="s">
        <v>141</v>
      </c>
      <c r="S8" s="162" t="s">
        <v>108</v>
      </c>
      <c r="T8" s="171" t="s">
        <v>109</v>
      </c>
      <c r="U8" s="166" t="s">
        <v>141</v>
      </c>
      <c r="V8" s="162" t="s">
        <v>108</v>
      </c>
      <c r="W8" s="171" t="s">
        <v>109</v>
      </c>
      <c r="X8" s="166" t="s">
        <v>141</v>
      </c>
      <c r="Y8" s="162" t="s">
        <v>108</v>
      </c>
      <c r="Z8" s="171" t="s">
        <v>109</v>
      </c>
      <c r="AA8" s="166" t="s">
        <v>141</v>
      </c>
      <c r="AB8" s="162" t="s">
        <v>108</v>
      </c>
      <c r="AC8" s="171" t="s">
        <v>109</v>
      </c>
      <c r="AD8" s="166" t="s">
        <v>141</v>
      </c>
    </row>
    <row r="9" spans="2:30">
      <c r="B9" s="324" t="s">
        <v>446</v>
      </c>
      <c r="C9" s="173" t="s">
        <v>447</v>
      </c>
      <c r="D9" s="331">
        <v>7.25</v>
      </c>
      <c r="E9" s="174">
        <v>2.85</v>
      </c>
      <c r="F9" s="160">
        <v>3.04</v>
      </c>
      <c r="G9" s="331">
        <f>(2524*0.688)/1000</f>
        <v>1.7365119999999998</v>
      </c>
      <c r="H9" s="167">
        <v>1.76</v>
      </c>
      <c r="I9" s="160">
        <v>2.57</v>
      </c>
      <c r="J9" s="331">
        <v>0</v>
      </c>
      <c r="K9" s="386">
        <v>0</v>
      </c>
      <c r="L9" s="386">
        <v>0</v>
      </c>
      <c r="M9" s="331">
        <v>0</v>
      </c>
      <c r="N9" s="167">
        <v>7.0000000000000007E-2</v>
      </c>
      <c r="O9" s="160">
        <v>0.17</v>
      </c>
      <c r="P9" s="331">
        <f>(330*0.688)/1000</f>
        <v>0.22703999999999999</v>
      </c>
      <c r="Q9" s="167">
        <v>0.34</v>
      </c>
      <c r="R9" s="160">
        <v>0.1</v>
      </c>
      <c r="S9" s="331">
        <v>0</v>
      </c>
      <c r="T9" s="167">
        <v>0</v>
      </c>
      <c r="U9" s="160">
        <v>0.32</v>
      </c>
      <c r="V9" s="331">
        <v>0</v>
      </c>
      <c r="W9" s="167" t="s">
        <v>448</v>
      </c>
      <c r="X9" s="160" t="s">
        <v>449</v>
      </c>
      <c r="Y9" s="331">
        <v>0</v>
      </c>
      <c r="Z9" s="167" t="s">
        <v>449</v>
      </c>
      <c r="AA9" s="160" t="s">
        <v>449</v>
      </c>
      <c r="AB9" s="331">
        <f>D9+G9+J9+M9+P9+S9+V9+Y9</f>
        <v>9.213552</v>
      </c>
      <c r="AC9" s="167">
        <v>5.0199999999999996</v>
      </c>
      <c r="AD9" s="160">
        <v>6.54</v>
      </c>
    </row>
    <row r="10" spans="2:30">
      <c r="B10" s="324" t="s">
        <v>450</v>
      </c>
      <c r="C10" s="173" t="s">
        <v>447</v>
      </c>
      <c r="D10" s="331">
        <v>0</v>
      </c>
      <c r="E10" s="174">
        <v>27</v>
      </c>
      <c r="F10" s="160">
        <v>82</v>
      </c>
      <c r="G10" s="331">
        <f>382950.19/1000</f>
        <v>382.95019000000002</v>
      </c>
      <c r="H10" s="167">
        <v>4638</v>
      </c>
      <c r="I10" s="160">
        <v>5880</v>
      </c>
      <c r="J10" s="331">
        <f>13726222.72/1000</f>
        <v>13726.222720000002</v>
      </c>
      <c r="K10" s="386">
        <v>0</v>
      </c>
      <c r="L10" s="386">
        <v>0</v>
      </c>
      <c r="M10" s="331">
        <v>0</v>
      </c>
      <c r="N10" s="167">
        <v>1527</v>
      </c>
      <c r="O10" s="160">
        <v>4868</v>
      </c>
      <c r="P10" s="331">
        <v>0</v>
      </c>
      <c r="Q10" s="167">
        <v>133</v>
      </c>
      <c r="R10" s="160">
        <v>234</v>
      </c>
      <c r="S10" s="331">
        <v>0</v>
      </c>
      <c r="T10" s="167">
        <v>0</v>
      </c>
      <c r="U10" s="160">
        <v>4296</v>
      </c>
      <c r="V10" s="331">
        <v>0</v>
      </c>
      <c r="W10" s="167">
        <v>2651</v>
      </c>
      <c r="X10" s="160">
        <v>0</v>
      </c>
      <c r="Y10" s="331">
        <v>0</v>
      </c>
      <c r="Z10" s="167">
        <v>0</v>
      </c>
      <c r="AA10" s="160">
        <v>0</v>
      </c>
      <c r="AB10" s="331">
        <f>D10+G10+J10+M10+P10+S10+V10+Y10</f>
        <v>14109.172910000001</v>
      </c>
      <c r="AC10" s="167">
        <v>8976</v>
      </c>
      <c r="AD10" s="160">
        <v>15360</v>
      </c>
    </row>
    <row r="11" spans="2:30">
      <c r="F11" s="41"/>
      <c r="G11" s="45"/>
      <c r="H11" s="45"/>
    </row>
    <row r="12" spans="2:30">
      <c r="B12" s="44" t="s">
        <v>454</v>
      </c>
      <c r="C12" s="44"/>
      <c r="D12" s="45"/>
      <c r="E12" s="45"/>
      <c r="F12" s="45"/>
      <c r="G12" s="45"/>
      <c r="H12" s="45"/>
    </row>
    <row r="13" spans="2:30">
      <c r="B13" s="165" t="s">
        <v>69</v>
      </c>
      <c r="C13" s="165"/>
      <c r="D13" s="158" t="s">
        <v>107</v>
      </c>
      <c r="E13" s="158" t="s">
        <v>108</v>
      </c>
      <c r="F13" s="158" t="s">
        <v>109</v>
      </c>
    </row>
    <row r="14" spans="2:30">
      <c r="B14" s="384" t="s">
        <v>455</v>
      </c>
      <c r="C14" s="78"/>
      <c r="D14" s="79" t="s">
        <v>456</v>
      </c>
      <c r="E14" s="382">
        <v>3465</v>
      </c>
      <c r="F14" s="175">
        <v>6765</v>
      </c>
    </row>
    <row r="15" spans="2:30">
      <c r="B15" s="384" t="s">
        <v>457</v>
      </c>
      <c r="C15" s="78"/>
      <c r="D15" s="79" t="s">
        <v>458</v>
      </c>
      <c r="E15" s="383">
        <v>155958</v>
      </c>
      <c r="F15" s="175">
        <v>224900</v>
      </c>
    </row>
    <row r="16" spans="2:30">
      <c r="B16" s="78" t="s">
        <v>459</v>
      </c>
      <c r="C16" s="78"/>
      <c r="D16" s="79" t="s">
        <v>453</v>
      </c>
      <c r="E16" s="296" t="s">
        <v>637</v>
      </c>
      <c r="F16" s="176">
        <v>0</v>
      </c>
    </row>
    <row r="17" spans="2:6">
      <c r="B17" s="78" t="s">
        <v>460</v>
      </c>
      <c r="C17" s="78"/>
      <c r="D17" s="79" t="s">
        <v>458</v>
      </c>
      <c r="E17" s="295" t="s">
        <v>637</v>
      </c>
      <c r="F17" s="175">
        <v>0</v>
      </c>
    </row>
    <row r="18" spans="2:6" ht="15" thickBot="1">
      <c r="B18" s="107" t="s">
        <v>461</v>
      </c>
      <c r="C18" s="80"/>
      <c r="D18" s="293" t="s">
        <v>458</v>
      </c>
      <c r="E18" s="297" t="s">
        <v>637</v>
      </c>
      <c r="F18" s="294">
        <v>0</v>
      </c>
    </row>
    <row r="19" spans="2:6">
      <c r="F19" s="41"/>
    </row>
    <row r="20" spans="2:6">
      <c r="B20" s="385" t="s">
        <v>123</v>
      </c>
      <c r="C20" s="44"/>
      <c r="D20" s="45"/>
      <c r="E20" s="45"/>
      <c r="F20" s="45"/>
    </row>
    <row r="21" spans="2:6" ht="17.25" customHeight="1">
      <c r="B21" s="165" t="s">
        <v>69</v>
      </c>
      <c r="C21" s="165"/>
      <c r="D21" s="158" t="s">
        <v>107</v>
      </c>
      <c r="E21" s="158" t="s">
        <v>108</v>
      </c>
    </row>
    <row r="22" spans="2:6">
      <c r="B22" s="78" t="s">
        <v>462</v>
      </c>
      <c r="C22" s="78"/>
      <c r="D22" s="79" t="s">
        <v>463</v>
      </c>
      <c r="E22" s="296">
        <v>860510</v>
      </c>
    </row>
    <row r="23" spans="2:6">
      <c r="B23" s="78" t="s">
        <v>464</v>
      </c>
      <c r="C23" s="78"/>
      <c r="D23" s="79" t="s">
        <v>463</v>
      </c>
      <c r="E23" s="295">
        <v>13982</v>
      </c>
    </row>
    <row r="24" spans="2:6">
      <c r="B24" s="78" t="s">
        <v>465</v>
      </c>
      <c r="C24" s="78"/>
      <c r="D24" s="79" t="s">
        <v>463</v>
      </c>
      <c r="E24" s="296">
        <v>13180</v>
      </c>
    </row>
    <row r="25" spans="2:6">
      <c r="B25" s="78" t="s">
        <v>466</v>
      </c>
      <c r="C25" s="78"/>
      <c r="D25" s="79" t="s">
        <v>463</v>
      </c>
      <c r="E25" s="296">
        <v>400</v>
      </c>
    </row>
    <row r="26" spans="2:6">
      <c r="B26" s="78" t="s">
        <v>467</v>
      </c>
      <c r="C26" s="78"/>
      <c r="D26" s="79" t="s">
        <v>463</v>
      </c>
      <c r="E26" s="295">
        <v>1680</v>
      </c>
    </row>
    <row r="27" spans="2:6" ht="15" thickBot="1">
      <c r="B27" s="107" t="s">
        <v>618</v>
      </c>
      <c r="C27" s="80"/>
      <c r="D27" s="293"/>
      <c r="E27" s="297" t="s">
        <v>617</v>
      </c>
    </row>
    <row r="28" spans="2:6">
      <c r="B28" s="177" t="s">
        <v>619</v>
      </c>
      <c r="F28" s="41"/>
    </row>
    <row r="29" spans="2:6">
      <c r="F29" s="41"/>
    </row>
    <row r="30" spans="2:6" ht="35.4" customHeight="1">
      <c r="B30" s="428" t="s">
        <v>616</v>
      </c>
      <c r="C30" s="428"/>
      <c r="D30" s="428"/>
      <c r="E30" s="428"/>
      <c r="F30" s="428"/>
    </row>
  </sheetData>
  <sheetProtection algorithmName="SHA-512" hashValue="Kj9OJ/PhcbhVpbljNBgFys0UANgV2CJ1qiHVjx+jlRPhL2bZqOK6ZpO7l4xmy0wKg9CH/Nez3gImll3JR1yIoQ==" saltValue="x1MDGboDtgpNz8Guf66S2A==" spinCount="100000" sheet="1" objects="1" scenarios="1"/>
  <mergeCells count="10">
    <mergeCell ref="B30:F30"/>
    <mergeCell ref="Y7:AA7"/>
    <mergeCell ref="AB7:AD7"/>
    <mergeCell ref="V7:X7"/>
    <mergeCell ref="D7:F7"/>
    <mergeCell ref="G7:I7"/>
    <mergeCell ref="M7:O7"/>
    <mergeCell ref="P7:R7"/>
    <mergeCell ref="S7:U7"/>
    <mergeCell ref="J7:L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2FAE-A5E5-4E83-9C49-B9E457B6C3F0}">
  <sheetPr codeName="Sheet18">
    <tabColor theme="5" tint="0.39997558519241921"/>
    <pageSetUpPr autoPageBreaks="0"/>
  </sheetPr>
  <dimension ref="B2:J14"/>
  <sheetViews>
    <sheetView zoomScaleNormal="100" workbookViewId="0">
      <selection activeCell="B12" sqref="B12"/>
    </sheetView>
  </sheetViews>
  <sheetFormatPr defaultColWidth="8.453125" defaultRowHeight="14.5"/>
  <cols>
    <col min="1" max="1" width="3.453125" style="12" customWidth="1"/>
    <col min="2" max="2" width="41.453125" style="12" customWidth="1"/>
    <col min="3" max="9" width="11.54296875" style="12" customWidth="1"/>
    <col min="10" max="16384" width="8.453125" style="12"/>
  </cols>
  <sheetData>
    <row r="2" spans="2:10">
      <c r="D2" s="72" t="s">
        <v>78</v>
      </c>
    </row>
    <row r="6" spans="2:10">
      <c r="B6" s="75" t="s">
        <v>468</v>
      </c>
    </row>
    <row r="7" spans="2:10">
      <c r="B7" s="155" t="s">
        <v>469</v>
      </c>
      <c r="C7" s="155" t="s">
        <v>107</v>
      </c>
      <c r="D7" s="158" t="s">
        <v>123</v>
      </c>
      <c r="E7" s="158" t="s">
        <v>124</v>
      </c>
      <c r="F7" s="158" t="s">
        <v>152</v>
      </c>
      <c r="G7" s="158" t="s">
        <v>126</v>
      </c>
      <c r="H7" s="158" t="s">
        <v>127</v>
      </c>
      <c r="I7" s="158" t="s">
        <v>128</v>
      </c>
      <c r="J7" s="158" t="s">
        <v>129</v>
      </c>
    </row>
    <row r="8" spans="2:10" ht="22.4" customHeight="1">
      <c r="B8" s="73" t="s">
        <v>470</v>
      </c>
      <c r="C8" s="73" t="s">
        <v>426</v>
      </c>
      <c r="D8" s="170" t="s">
        <v>471</v>
      </c>
      <c r="E8" s="170" t="s">
        <v>471</v>
      </c>
      <c r="F8" s="170" t="s">
        <v>471</v>
      </c>
      <c r="G8" s="170" t="s">
        <v>471</v>
      </c>
      <c r="H8" s="170" t="s">
        <v>471</v>
      </c>
      <c r="I8" s="170" t="s">
        <v>471</v>
      </c>
      <c r="J8" s="170" t="s">
        <v>427</v>
      </c>
    </row>
    <row r="9" spans="2:10" ht="22.4" customHeight="1">
      <c r="B9" s="73" t="s">
        <v>472</v>
      </c>
      <c r="C9" s="73" t="s">
        <v>473</v>
      </c>
      <c r="D9" s="170" t="s">
        <v>474</v>
      </c>
      <c r="E9" s="170" t="s">
        <v>474</v>
      </c>
      <c r="F9" s="170" t="s">
        <v>474</v>
      </c>
      <c r="G9" s="170" t="s">
        <v>474</v>
      </c>
      <c r="H9" s="170" t="s">
        <v>475</v>
      </c>
      <c r="I9" s="170" t="s">
        <v>475</v>
      </c>
      <c r="J9" s="170" t="s">
        <v>369</v>
      </c>
    </row>
    <row r="10" spans="2:10" ht="22.4" customHeight="1">
      <c r="B10" s="73" t="s">
        <v>476</v>
      </c>
      <c r="C10" s="73" t="s">
        <v>477</v>
      </c>
      <c r="D10" s="298">
        <v>0</v>
      </c>
      <c r="E10" s="298" t="s">
        <v>478</v>
      </c>
      <c r="F10" s="298">
        <v>1</v>
      </c>
      <c r="G10" s="298">
        <v>0</v>
      </c>
      <c r="H10" s="298">
        <v>0</v>
      </c>
      <c r="I10" s="298">
        <v>0</v>
      </c>
      <c r="J10" s="298">
        <v>0</v>
      </c>
    </row>
    <row r="11" spans="2:10" ht="20.149999999999999" customHeight="1" thickBot="1">
      <c r="B11" s="74"/>
      <c r="C11" s="144"/>
      <c r="D11" s="119"/>
      <c r="E11" s="57"/>
    </row>
    <row r="12" spans="2:10">
      <c r="B12" s="177" t="s">
        <v>638</v>
      </c>
    </row>
    <row r="13" spans="2:10" ht="102.65" customHeight="1">
      <c r="B13" s="429" t="s">
        <v>479</v>
      </c>
      <c r="C13" s="429"/>
      <c r="D13" s="429"/>
    </row>
    <row r="14" spans="2:10">
      <c r="B14" s="47"/>
    </row>
  </sheetData>
  <sheetProtection algorithmName="SHA-512" hashValue="eO5MemIyOqzkONT1KusF4H7pay1reOf8xs4nmkX3SDiv70q1kUieWRY/B2as91ml3TU4y12BnmMNNSN8cIPwvQ==" saltValue="5Pig0ZAbY1puT4Ij5L/Ktw==" spinCount="100000" sheet="1" objects="1" scenarios="1"/>
  <mergeCells count="1">
    <mergeCell ref="B13:D13"/>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235F-9474-4A23-8B43-A046AABE550B}">
  <sheetPr codeName="Sheet13">
    <tabColor theme="5" tint="0.39997558519241921"/>
    <pageSetUpPr autoPageBreaks="0"/>
  </sheetPr>
  <dimension ref="B1:F22"/>
  <sheetViews>
    <sheetView tabSelected="1" zoomScale="70" zoomScaleNormal="70" workbookViewId="0">
      <selection activeCell="D9" sqref="D9"/>
    </sheetView>
  </sheetViews>
  <sheetFormatPr defaultColWidth="9.453125" defaultRowHeight="14.5"/>
  <cols>
    <col min="1" max="1" width="3.453125" style="36" customWidth="1"/>
    <col min="2" max="2" width="21.453125" style="36" customWidth="1"/>
    <col min="3" max="3" width="86.1796875" style="36" customWidth="1"/>
    <col min="4" max="4" width="127.453125" style="36" customWidth="1"/>
    <col min="5" max="5" width="67.1796875" style="36" customWidth="1"/>
    <col min="6" max="16384" width="9.453125" style="36"/>
  </cols>
  <sheetData>
    <row r="1" spans="2:6">
      <c r="B1" s="48"/>
    </row>
    <row r="2" spans="2:6">
      <c r="D2" s="69" t="s">
        <v>480</v>
      </c>
      <c r="F2"/>
    </row>
    <row r="6" spans="2:6">
      <c r="B6" s="76" t="s">
        <v>481</v>
      </c>
      <c r="C6" s="49"/>
      <c r="D6" s="49"/>
    </row>
    <row r="7" spans="2:6">
      <c r="B7" s="268"/>
      <c r="C7" s="268" t="s">
        <v>482</v>
      </c>
      <c r="D7" s="268" t="s">
        <v>483</v>
      </c>
      <c r="E7" s="268" t="s">
        <v>484</v>
      </c>
    </row>
    <row r="8" spans="2:6" ht="195" customHeight="1">
      <c r="B8" s="433" t="s">
        <v>485</v>
      </c>
      <c r="C8" s="66" t="s">
        <v>486</v>
      </c>
      <c r="D8" s="66" t="s">
        <v>487</v>
      </c>
      <c r="E8" s="374" t="s">
        <v>609</v>
      </c>
    </row>
    <row r="9" spans="2:6" ht="249.65" customHeight="1">
      <c r="B9" s="433"/>
      <c r="C9" s="66" t="s">
        <v>488</v>
      </c>
      <c r="D9" s="66" t="s">
        <v>489</v>
      </c>
      <c r="E9" s="374" t="s">
        <v>640</v>
      </c>
    </row>
    <row r="10" spans="2:6" ht="26">
      <c r="B10" s="434" t="s">
        <v>490</v>
      </c>
      <c r="C10" s="66" t="s">
        <v>491</v>
      </c>
      <c r="D10" s="436" t="s">
        <v>643</v>
      </c>
      <c r="E10" s="442" t="s">
        <v>641</v>
      </c>
    </row>
    <row r="11" spans="2:6" ht="52.5" customHeight="1">
      <c r="B11" s="434"/>
      <c r="C11" s="66" t="s">
        <v>492</v>
      </c>
      <c r="D11" s="437"/>
      <c r="E11" s="443"/>
    </row>
    <row r="12" spans="2:6" ht="26">
      <c r="B12" s="434"/>
      <c r="C12" s="66" t="s">
        <v>493</v>
      </c>
      <c r="D12" s="438"/>
      <c r="E12" s="444"/>
    </row>
    <row r="13" spans="2:6" ht="41.5" customHeight="1">
      <c r="B13" s="434" t="s">
        <v>494</v>
      </c>
      <c r="C13" s="66" t="s">
        <v>495</v>
      </c>
      <c r="D13" s="436" t="s">
        <v>644</v>
      </c>
      <c r="E13" s="442" t="s">
        <v>642</v>
      </c>
    </row>
    <row r="14" spans="2:6" ht="41.5" customHeight="1">
      <c r="B14" s="434"/>
      <c r="C14" s="66" t="s">
        <v>496</v>
      </c>
      <c r="D14" s="437"/>
      <c r="E14" s="443"/>
    </row>
    <row r="15" spans="2:6" ht="41.5" customHeight="1">
      <c r="B15" s="434"/>
      <c r="C15" s="66" t="s">
        <v>497</v>
      </c>
      <c r="D15" s="438"/>
      <c r="E15" s="444"/>
    </row>
    <row r="16" spans="2:6" ht="41.5" customHeight="1">
      <c r="B16" s="434" t="s">
        <v>498</v>
      </c>
      <c r="C16" s="63" t="s">
        <v>499</v>
      </c>
      <c r="D16" s="439" t="s">
        <v>645</v>
      </c>
      <c r="E16" s="430" t="s">
        <v>500</v>
      </c>
    </row>
    <row r="17" spans="2:5" ht="41.5" customHeight="1">
      <c r="B17" s="433"/>
      <c r="C17" s="66"/>
      <c r="D17" s="440"/>
      <c r="E17" s="431"/>
    </row>
    <row r="18" spans="2:5" ht="26">
      <c r="B18" s="433"/>
      <c r="C18" s="63" t="s">
        <v>501</v>
      </c>
      <c r="D18" s="440"/>
      <c r="E18" s="431"/>
    </row>
    <row r="19" spans="2:5">
      <c r="B19" s="433"/>
      <c r="C19" s="66"/>
      <c r="D19" s="440"/>
      <c r="E19" s="431"/>
    </row>
    <row r="20" spans="2:5" ht="26">
      <c r="B20" s="435"/>
      <c r="C20" s="66" t="s">
        <v>502</v>
      </c>
      <c r="D20" s="441"/>
      <c r="E20" s="432"/>
    </row>
    <row r="21" spans="2:5">
      <c r="B21" s="52"/>
      <c r="C21" s="52"/>
      <c r="D21" s="51"/>
    </row>
    <row r="22" spans="2:5">
      <c r="B22" s="52"/>
      <c r="C22" s="52"/>
      <c r="D22" s="51"/>
    </row>
  </sheetData>
  <sheetProtection algorithmName="SHA-512" hashValue="Dd5ClMQgT9BCc7YS/uYvc/Agm0CaRccKB5KT+lh+0dFJWXBRl8m1NCBfBob0sGur+wX/wRS//Wz0693rTsrECQ==" saltValue="FpoVFzCExGBATndBAR94og==" spinCount="100000" sheet="1" objects="1" scenarios="1"/>
  <mergeCells count="10">
    <mergeCell ref="E16:E20"/>
    <mergeCell ref="B8:B9"/>
    <mergeCell ref="B10:B12"/>
    <mergeCell ref="B13:B15"/>
    <mergeCell ref="B16:B20"/>
    <mergeCell ref="D10:D12"/>
    <mergeCell ref="D13:D15"/>
    <mergeCell ref="D16:D20"/>
    <mergeCell ref="E10:E12"/>
    <mergeCell ref="E13:E1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8359-2600-45DD-9282-D1DDFA14319C}">
  <sheetPr codeName="Sheet22">
    <tabColor theme="5" tint="0.39997558519241921"/>
    <pageSetUpPr autoPageBreaks="0"/>
  </sheetPr>
  <dimension ref="B1:E43"/>
  <sheetViews>
    <sheetView showGridLines="0" topLeftCell="A20" zoomScale="70" zoomScaleNormal="70" workbookViewId="0">
      <selection activeCell="E39" sqref="E39"/>
    </sheetView>
  </sheetViews>
  <sheetFormatPr defaultColWidth="9.453125" defaultRowHeight="14.5"/>
  <cols>
    <col min="1" max="1" width="3.453125" style="36" customWidth="1"/>
    <col min="2" max="2" width="28" style="36" customWidth="1"/>
    <col min="3" max="3" width="16.453125" style="36" customWidth="1"/>
    <col min="4" max="4" width="85.1796875" style="36" customWidth="1"/>
    <col min="5" max="5" width="93.54296875" style="36" customWidth="1"/>
    <col min="6" max="6" width="13.453125" style="36" customWidth="1"/>
    <col min="7" max="7" width="18.453125" style="36" customWidth="1"/>
    <col min="8" max="16384" width="9.453125" style="36"/>
  </cols>
  <sheetData>
    <row r="1" spans="2:5">
      <c r="B1" s="46"/>
    </row>
    <row r="2" spans="2:5">
      <c r="E2" s="69" t="s">
        <v>78</v>
      </c>
    </row>
    <row r="6" spans="2:5">
      <c r="B6" s="77" t="s">
        <v>503</v>
      </c>
      <c r="C6" s="61"/>
      <c r="D6" s="50"/>
      <c r="E6" s="49"/>
    </row>
    <row r="7" spans="2:5">
      <c r="B7" s="269" t="s">
        <v>504</v>
      </c>
      <c r="C7" s="268" t="s">
        <v>505</v>
      </c>
      <c r="D7" s="268" t="s">
        <v>506</v>
      </c>
      <c r="E7" s="269" t="s">
        <v>507</v>
      </c>
    </row>
    <row r="8" spans="2:5">
      <c r="B8" s="447" t="s">
        <v>508</v>
      </c>
      <c r="C8" s="275" t="s">
        <v>509</v>
      </c>
      <c r="D8" s="276" t="s">
        <v>510</v>
      </c>
      <c r="E8" s="71" t="s">
        <v>639</v>
      </c>
    </row>
    <row r="9" spans="2:5">
      <c r="B9" s="449"/>
      <c r="C9" s="64"/>
      <c r="D9" s="65"/>
      <c r="E9" s="270" t="s">
        <v>511</v>
      </c>
    </row>
    <row r="10" spans="2:5" ht="26">
      <c r="B10" s="449"/>
      <c r="C10" s="271" t="s">
        <v>512</v>
      </c>
      <c r="D10" s="272" t="s">
        <v>513</v>
      </c>
      <c r="E10" s="63" t="s">
        <v>639</v>
      </c>
    </row>
    <row r="11" spans="2:5">
      <c r="B11" s="450"/>
      <c r="C11" s="64"/>
      <c r="D11" s="65"/>
      <c r="E11" s="270" t="s">
        <v>511</v>
      </c>
    </row>
    <row r="12" spans="2:5" ht="27.65" customHeight="1">
      <c r="B12" s="273" t="s">
        <v>514</v>
      </c>
      <c r="C12" s="274" t="s">
        <v>515</v>
      </c>
      <c r="D12" s="274" t="s">
        <v>516</v>
      </c>
      <c r="E12" s="270" t="s">
        <v>511</v>
      </c>
    </row>
    <row r="13" spans="2:5">
      <c r="B13" s="151" t="s">
        <v>517</v>
      </c>
      <c r="C13" s="71" t="s">
        <v>518</v>
      </c>
      <c r="D13" s="71" t="s">
        <v>519</v>
      </c>
      <c r="E13" s="63" t="s">
        <v>639</v>
      </c>
    </row>
    <row r="14" spans="2:5" customFormat="1">
      <c r="B14" s="283"/>
      <c r="C14" s="277"/>
      <c r="D14" s="277"/>
      <c r="E14" s="270" t="s">
        <v>520</v>
      </c>
    </row>
    <row r="15" spans="2:5" ht="60.65" customHeight="1">
      <c r="B15" s="449" t="s">
        <v>521</v>
      </c>
      <c r="C15" s="64" t="s">
        <v>522</v>
      </c>
      <c r="D15" s="65" t="s">
        <v>523</v>
      </c>
      <c r="E15" s="277" t="s">
        <v>646</v>
      </c>
    </row>
    <row r="16" spans="2:5">
      <c r="B16" s="449"/>
      <c r="C16" s="271" t="s">
        <v>524</v>
      </c>
      <c r="D16" s="445" t="s">
        <v>525</v>
      </c>
      <c r="E16" s="272" t="s">
        <v>545</v>
      </c>
    </row>
    <row r="17" spans="2:5">
      <c r="B17" s="450"/>
      <c r="C17" s="64"/>
      <c r="D17" s="446"/>
      <c r="E17" s="282" t="s">
        <v>526</v>
      </c>
    </row>
    <row r="18" spans="2:5" customFormat="1">
      <c r="B18" s="447" t="s">
        <v>527</v>
      </c>
      <c r="C18" s="284" t="s">
        <v>528</v>
      </c>
      <c r="D18" s="285" t="s">
        <v>529</v>
      </c>
      <c r="E18" s="270" t="s">
        <v>530</v>
      </c>
    </row>
    <row r="19" spans="2:5">
      <c r="B19" s="449"/>
      <c r="C19" s="64" t="s">
        <v>531</v>
      </c>
      <c r="D19" s="65" t="s">
        <v>532</v>
      </c>
      <c r="E19" s="270" t="s">
        <v>533</v>
      </c>
    </row>
    <row r="20" spans="2:5">
      <c r="B20" s="449"/>
      <c r="C20" s="64" t="s">
        <v>534</v>
      </c>
      <c r="D20" s="65" t="s">
        <v>535</v>
      </c>
      <c r="E20" s="270" t="s">
        <v>530</v>
      </c>
    </row>
    <row r="21" spans="2:5">
      <c r="B21" s="449"/>
      <c r="C21" s="64" t="s">
        <v>536</v>
      </c>
      <c r="D21" s="65" t="s">
        <v>451</v>
      </c>
      <c r="E21" s="270" t="s">
        <v>530</v>
      </c>
    </row>
    <row r="22" spans="2:5">
      <c r="B22" s="449"/>
      <c r="C22" s="64" t="s">
        <v>537</v>
      </c>
      <c r="D22" s="65" t="s">
        <v>538</v>
      </c>
      <c r="E22" s="270" t="s">
        <v>530</v>
      </c>
    </row>
    <row r="23" spans="2:5">
      <c r="B23" s="449"/>
      <c r="C23" s="64" t="s">
        <v>539</v>
      </c>
      <c r="D23" s="65" t="s">
        <v>452</v>
      </c>
      <c r="E23" s="270" t="s">
        <v>530</v>
      </c>
    </row>
    <row r="24" spans="2:5" ht="26">
      <c r="B24" s="448"/>
      <c r="C24" s="64" t="s">
        <v>540</v>
      </c>
      <c r="D24" s="65" t="s">
        <v>541</v>
      </c>
      <c r="E24" s="270" t="s">
        <v>530</v>
      </c>
    </row>
    <row r="25" spans="2:5">
      <c r="B25" s="447" t="s">
        <v>542</v>
      </c>
      <c r="C25" s="286" t="s">
        <v>543</v>
      </c>
      <c r="D25" s="287" t="s">
        <v>544</v>
      </c>
      <c r="E25" s="274" t="s">
        <v>545</v>
      </c>
    </row>
    <row r="26" spans="2:5" ht="26">
      <c r="B26" s="449"/>
      <c r="C26" s="64" t="s">
        <v>546</v>
      </c>
      <c r="D26" s="288" t="s">
        <v>547</v>
      </c>
      <c r="E26" s="274" t="s">
        <v>548</v>
      </c>
    </row>
    <row r="27" spans="2:5" ht="26">
      <c r="B27" s="448"/>
      <c r="C27" s="64" t="s">
        <v>549</v>
      </c>
      <c r="D27" s="288" t="s">
        <v>550</v>
      </c>
      <c r="E27" s="274" t="s">
        <v>551</v>
      </c>
    </row>
    <row r="28" spans="2:5">
      <c r="B28" s="449" t="s">
        <v>552</v>
      </c>
      <c r="C28" s="64" t="s">
        <v>553</v>
      </c>
      <c r="D28" s="65" t="s">
        <v>554</v>
      </c>
      <c r="E28" s="65" t="s">
        <v>555</v>
      </c>
    </row>
    <row r="29" spans="2:5" ht="37.75" customHeight="1">
      <c r="B29" s="449"/>
      <c r="C29" s="64" t="s">
        <v>556</v>
      </c>
      <c r="D29" s="65" t="s">
        <v>557</v>
      </c>
      <c r="E29" s="65" t="s">
        <v>647</v>
      </c>
    </row>
    <row r="30" spans="2:5">
      <c r="B30" s="448"/>
      <c r="C30" s="64" t="s">
        <v>558</v>
      </c>
      <c r="D30" s="65" t="s">
        <v>559</v>
      </c>
      <c r="E30" s="65" t="s">
        <v>648</v>
      </c>
    </row>
    <row r="31" spans="2:5" ht="39">
      <c r="B31" s="447" t="s">
        <v>560</v>
      </c>
      <c r="C31" s="64" t="s">
        <v>561</v>
      </c>
      <c r="D31" s="65" t="s">
        <v>562</v>
      </c>
      <c r="E31" s="65" t="s">
        <v>652</v>
      </c>
    </row>
    <row r="32" spans="2:5">
      <c r="B32" s="448"/>
      <c r="C32" s="64" t="s">
        <v>563</v>
      </c>
      <c r="D32" s="65" t="s">
        <v>564</v>
      </c>
      <c r="E32" s="397" t="s">
        <v>651</v>
      </c>
    </row>
    <row r="33" spans="2:5" ht="25.75" customHeight="1">
      <c r="B33" s="447" t="s">
        <v>565</v>
      </c>
      <c r="C33" s="271" t="s">
        <v>566</v>
      </c>
      <c r="D33" s="272" t="s">
        <v>567</v>
      </c>
      <c r="E33" s="65" t="s">
        <v>610</v>
      </c>
    </row>
    <row r="34" spans="2:5">
      <c r="B34" s="448"/>
      <c r="C34" s="64" t="s">
        <v>568</v>
      </c>
      <c r="D34" s="65" t="s">
        <v>301</v>
      </c>
      <c r="E34" s="289" t="s">
        <v>649</v>
      </c>
    </row>
    <row r="35" spans="2:5">
      <c r="B35" s="68" t="s">
        <v>569</v>
      </c>
      <c r="C35" s="271" t="s">
        <v>570</v>
      </c>
      <c r="D35" s="272" t="s">
        <v>571</v>
      </c>
      <c r="E35" s="289" t="s">
        <v>611</v>
      </c>
    </row>
    <row r="36" spans="2:5">
      <c r="B36" s="67"/>
      <c r="C36" s="64"/>
      <c r="D36" s="65" t="s">
        <v>572</v>
      </c>
      <c r="E36" s="270" t="s">
        <v>573</v>
      </c>
    </row>
    <row r="37" spans="2:5" ht="26">
      <c r="B37" s="447" t="s">
        <v>574</v>
      </c>
      <c r="C37" s="64" t="s">
        <v>575</v>
      </c>
      <c r="D37" s="65" t="s">
        <v>576</v>
      </c>
      <c r="E37" s="65" t="s">
        <v>577</v>
      </c>
    </row>
    <row r="38" spans="2:5" ht="26">
      <c r="B38" s="448"/>
      <c r="C38" s="64" t="s">
        <v>578</v>
      </c>
      <c r="D38" s="65" t="s">
        <v>579</v>
      </c>
      <c r="E38" s="65" t="s">
        <v>580</v>
      </c>
    </row>
    <row r="39" spans="2:5" ht="52">
      <c r="B39" s="152" t="s">
        <v>581</v>
      </c>
      <c r="C39" s="64" t="s">
        <v>582</v>
      </c>
      <c r="D39" s="272" t="s">
        <v>583</v>
      </c>
      <c r="E39" s="388" t="s">
        <v>61</v>
      </c>
    </row>
    <row r="40" spans="2:5" ht="26">
      <c r="B40" s="152"/>
      <c r="C40" s="64" t="s">
        <v>584</v>
      </c>
      <c r="D40" s="272" t="s">
        <v>585</v>
      </c>
      <c r="E40" s="389" t="s">
        <v>650</v>
      </c>
    </row>
    <row r="41" spans="2:5">
      <c r="B41" s="152"/>
      <c r="C41" s="64" t="s">
        <v>586</v>
      </c>
      <c r="D41" s="65" t="s">
        <v>587</v>
      </c>
      <c r="E41" s="285"/>
    </row>
    <row r="42" spans="2:5">
      <c r="B42" s="68" t="s">
        <v>588</v>
      </c>
      <c r="C42" s="64" t="s">
        <v>589</v>
      </c>
      <c r="D42" s="65" t="s">
        <v>590</v>
      </c>
      <c r="E42" s="270" t="s">
        <v>591</v>
      </c>
    </row>
    <row r="43" spans="2:5">
      <c r="B43" s="67"/>
      <c r="C43" s="64" t="s">
        <v>592</v>
      </c>
      <c r="D43" s="65" t="s">
        <v>593</v>
      </c>
      <c r="E43" s="290" t="s">
        <v>594</v>
      </c>
    </row>
  </sheetData>
  <sheetProtection algorithmName="SHA-512" hashValue="wrEh7hkFbzpEYoVLzELW6XFFj931G7O0mvecg+DCaovi6idyDb8Tb/6jxjnNLIQp35Rkq55ut9DvdfzmBPsA+Q==" saltValue="n2x+peEwp6S58ahgjo/VGQ==" spinCount="100000" sheet="1" objects="1" scenarios="1"/>
  <mergeCells count="9">
    <mergeCell ref="D16:D17"/>
    <mergeCell ref="B33:B34"/>
    <mergeCell ref="B37:B38"/>
    <mergeCell ref="B8:B11"/>
    <mergeCell ref="B15:B17"/>
    <mergeCell ref="B18:B24"/>
    <mergeCell ref="B25:B27"/>
    <mergeCell ref="B28:B30"/>
    <mergeCell ref="B31:B32"/>
  </mergeCells>
  <hyperlinks>
    <hyperlink ref="E9" location="Emissions!A1" display="Ramelius Sustainability Databook - Emissions" xr:uid="{A9B4EEED-991E-4066-B974-357E1607A1E6}"/>
    <hyperlink ref="E11" location="Emissions!A1" display="Ramelius Sustainability Databook - Emissions" xr:uid="{1796E340-D9D4-4E46-BC06-1131C5F07D60}"/>
    <hyperlink ref="E12" location="Emissions!A1" display="Ramelius Sustainability Databook - Emissions" xr:uid="{B8FE20D3-73B5-41F2-A54F-F39290E112D4}"/>
    <hyperlink ref="E14" location="Energy!A1" display="Ramelius Sustainability Databook - Energy" xr:uid="{AB36D3EF-5240-4E42-8AB4-0782DCA9BCC0}"/>
    <hyperlink ref="E17" location="SASB!A1" display="Ramelius Sustainability Databook - Water" xr:uid="{D00E952D-86A9-4201-BE20-6BF7BEC2BC4F}"/>
    <hyperlink ref="E18" location="Waste!A1" display="Ramelius Sustainability Databook - Waste" xr:uid="{294A54E7-9E73-4538-B674-A3019908DA9C}"/>
    <hyperlink ref="E20" location="Waste!A1" display="Ramelius Sustainability Databook - Waste" xr:uid="{05417182-533B-4193-9C21-FD6E130B7935}"/>
    <hyperlink ref="E21" location="Waste!A1" display="Ramelius Sustainability Databook - Waste" xr:uid="{A161DB68-9235-4851-8EEB-D1CCC9E56EDA}"/>
    <hyperlink ref="E22" location="Waste!A1" display="Ramelius Sustainability Databook - Waste" xr:uid="{77BC5DC0-96A9-42D5-BC08-2B429E09E310}"/>
    <hyperlink ref="E23" location="Waste!A1" display="Ramelius Sustainability Databook - Waste" xr:uid="{43995667-C11C-4CFD-A27E-F684DEB3245F}"/>
    <hyperlink ref="E24" location="Waste!A1" display="Ramelius Sustainability Databook - Waste" xr:uid="{DE0E3737-5824-43C8-BFCA-97CD73368F8E}"/>
    <hyperlink ref="E19" location="Tailings!A1" display="Ramelius Sustainability Databook - Tailings" xr:uid="{8812E642-16C6-4F90-867B-73D4F196A668}"/>
    <hyperlink ref="E36" location="Safety!A1" display="Ramelius Sustainability Databook - Safety" xr:uid="{037D1910-D9B7-47B3-A7F3-97F0D338A820}"/>
    <hyperlink ref="E43" location="People!A1" display="Ramelius Sustainability Databook - People" xr:uid="{88DD146D-1437-44DB-811B-1AC5919CBC17}"/>
    <hyperlink ref="E42" location="SASB!A1" display="Ramelius Sustainability Databook - Economic Contributions" xr:uid="{0AEB6EAE-7D34-47E1-AC76-C80880122C05}"/>
    <hyperlink ref="E39" location="Tailings!A1" display="Tailings" xr:uid="{A445344B-6AC7-4929-81B2-B3A0946C4F3E}"/>
  </hyperlinks>
  <pageMargins left="0.7" right="0.7" top="0.75" bottom="0.75" header="0.3" footer="0.3"/>
  <pageSetup paperSize="9" scale="67"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C5B4-76C8-4C7D-8321-94527C8988B2}">
  <sheetPr codeName="Sheet7">
    <tabColor theme="5" tint="0.39997558519241921"/>
    <pageSetUpPr autoPageBreaks="0"/>
  </sheetPr>
  <dimension ref="A2:F18"/>
  <sheetViews>
    <sheetView topLeftCell="A2" zoomScale="89" zoomScaleNormal="100" workbookViewId="0">
      <selection activeCell="A23" sqref="A23"/>
    </sheetView>
  </sheetViews>
  <sheetFormatPr defaultColWidth="13.54296875" defaultRowHeight="14.5"/>
  <cols>
    <col min="1" max="1" width="148.453125" style="1" customWidth="1"/>
    <col min="2" max="16384" width="13.54296875" style="1"/>
  </cols>
  <sheetData>
    <row r="2" spans="1:6" ht="163.75" customHeight="1">
      <c r="A2"/>
    </row>
    <row r="3" spans="1:6" s="2" customFormat="1" ht="20.25" customHeight="1">
      <c r="A3" s="1" t="s">
        <v>595</v>
      </c>
      <c r="B3" s="1"/>
      <c r="C3" s="1"/>
      <c r="D3" s="1"/>
      <c r="E3" s="1"/>
      <c r="F3" s="1"/>
    </row>
    <row r="4" spans="1:6" ht="23.25" customHeight="1">
      <c r="A4" s="13"/>
    </row>
    <row r="5" spans="1:6" ht="26.5">
      <c r="A5" s="31" t="s">
        <v>607</v>
      </c>
    </row>
    <row r="6" spans="1:6">
      <c r="A6" s="14"/>
    </row>
    <row r="7" spans="1:6" ht="15.65" customHeight="1">
      <c r="A7" s="13" t="s">
        <v>6</v>
      </c>
    </row>
    <row r="8" spans="1:6" ht="16.25" customHeight="1">
      <c r="A8" s="32" t="s">
        <v>7</v>
      </c>
    </row>
    <row r="9" spans="1:6">
      <c r="A9" s="17" t="s">
        <v>8</v>
      </c>
    </row>
    <row r="10" spans="1:6" ht="16.399999999999999" customHeight="1">
      <c r="A10" s="15"/>
    </row>
    <row r="11" spans="1:6" ht="15.5">
      <c r="A11" s="13" t="s">
        <v>9</v>
      </c>
    </row>
    <row r="12" spans="1:6" s="4" customFormat="1" ht="71.400000000000006" customHeight="1">
      <c r="A12" s="387" t="s">
        <v>608</v>
      </c>
    </row>
    <row r="13" spans="1:6" s="4" customFormat="1" ht="18" customHeight="1">
      <c r="A13" s="17"/>
    </row>
    <row r="14" spans="1:6" s="5" customFormat="1" ht="15" customHeight="1">
      <c r="A14" s="16" t="s">
        <v>10</v>
      </c>
    </row>
    <row r="15" spans="1:6" s="5" customFormat="1">
      <c r="A15" s="387" t="s">
        <v>596</v>
      </c>
    </row>
    <row r="16" spans="1:6">
      <c r="A16" s="3"/>
    </row>
    <row r="17" spans="1:1">
      <c r="A17" s="3"/>
    </row>
    <row r="18" spans="1:1">
      <c r="A18" s="3"/>
    </row>
  </sheetData>
  <sheetProtection algorithmName="SHA-512" hashValue="WIPP4R311Li8WsYxmyJUbnmMhfS4FAcwwTU/U/8SLWhjURb/T0WF8cbnJeX7fQxZW/UFInw7FeyUGi4xeX4vDQ==" saltValue="oO4JLU57Exxlt4h60JFgFQ==" spinCount="100000" sheet="1" objects="1" scenarios="1"/>
  <pageMargins left="0.7" right="0.7" top="0.75" bottom="0.75" header="0.3" footer="0.3"/>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F6E77-3F0A-4226-8DA6-4CB7062D8458}">
  <sheetPr codeName="Sheet2">
    <tabColor theme="5" tint="0.39997558519241921"/>
    <pageSetUpPr autoPageBreaks="0"/>
  </sheetPr>
  <dimension ref="B6:C63"/>
  <sheetViews>
    <sheetView workbookViewId="0">
      <selection activeCell="B61" sqref="B61:B62"/>
    </sheetView>
  </sheetViews>
  <sheetFormatPr defaultColWidth="8.453125" defaultRowHeight="14.5"/>
  <cols>
    <col min="1" max="1" width="3.453125" style="12" customWidth="1"/>
    <col min="2" max="2" width="70.453125" style="12" customWidth="1"/>
    <col min="3" max="3" width="24.453125" style="12" customWidth="1"/>
    <col min="4" max="16384" width="8.453125" style="12"/>
  </cols>
  <sheetData>
    <row r="6" spans="2:3">
      <c r="B6" s="75" t="s">
        <v>11</v>
      </c>
      <c r="C6" s="6"/>
    </row>
    <row r="7" spans="2:3">
      <c r="B7" s="153" t="s">
        <v>12</v>
      </c>
      <c r="C7" s="154" t="s">
        <v>13</v>
      </c>
    </row>
    <row r="8" spans="2:3">
      <c r="B8" s="130" t="s">
        <v>14</v>
      </c>
      <c r="C8" s="148" t="s">
        <v>15</v>
      </c>
    </row>
    <row r="9" spans="2:3">
      <c r="B9" s="132" t="s">
        <v>16</v>
      </c>
      <c r="C9" s="148" t="s">
        <v>15</v>
      </c>
    </row>
    <row r="10" spans="2:3">
      <c r="B10" s="336" t="s">
        <v>17</v>
      </c>
      <c r="C10" s="337" t="s">
        <v>15</v>
      </c>
    </row>
    <row r="11" spans="2:3">
      <c r="B11" s="7"/>
      <c r="C11" s="8"/>
    </row>
    <row r="12" spans="2:3">
      <c r="B12" s="75" t="s">
        <v>18</v>
      </c>
      <c r="C12" s="6"/>
    </row>
    <row r="13" spans="2:3">
      <c r="B13" s="153" t="s">
        <v>12</v>
      </c>
      <c r="C13" s="154" t="s">
        <v>13</v>
      </c>
    </row>
    <row r="14" spans="2:3">
      <c r="B14" s="130" t="s">
        <v>19</v>
      </c>
      <c r="C14" s="148" t="s">
        <v>20</v>
      </c>
    </row>
    <row r="15" spans="2:3">
      <c r="B15" s="130" t="s">
        <v>21</v>
      </c>
      <c r="C15" s="148" t="s">
        <v>20</v>
      </c>
    </row>
    <row r="16" spans="2:3">
      <c r="B16" s="130" t="s">
        <v>22</v>
      </c>
      <c r="C16" s="148" t="s">
        <v>20</v>
      </c>
    </row>
    <row r="17" spans="2:3">
      <c r="B17" s="336" t="s">
        <v>23</v>
      </c>
      <c r="C17" s="338" t="s">
        <v>20</v>
      </c>
    </row>
    <row r="18" spans="2:3">
      <c r="B18" s="7"/>
      <c r="C18" s="8"/>
    </row>
    <row r="19" spans="2:3">
      <c r="B19" s="75" t="s">
        <v>24</v>
      </c>
      <c r="C19" s="9"/>
    </row>
    <row r="20" spans="2:3">
      <c r="B20" s="153" t="s">
        <v>25</v>
      </c>
      <c r="C20" s="154"/>
    </row>
    <row r="21" spans="2:3">
      <c r="B21" s="130" t="s">
        <v>26</v>
      </c>
      <c r="C21" s="131" t="s">
        <v>27</v>
      </c>
    </row>
    <row r="22" spans="2:3">
      <c r="B22" s="130" t="s">
        <v>28</v>
      </c>
      <c r="C22" s="131" t="s">
        <v>27</v>
      </c>
    </row>
    <row r="23" spans="2:3">
      <c r="B23" s="130" t="s">
        <v>29</v>
      </c>
      <c r="C23" s="131" t="s">
        <v>27</v>
      </c>
    </row>
    <row r="24" spans="2:3">
      <c r="B24" s="130" t="s">
        <v>30</v>
      </c>
      <c r="C24" s="131" t="s">
        <v>31</v>
      </c>
    </row>
    <row r="25" spans="2:3">
      <c r="B25" s="130" t="s">
        <v>32</v>
      </c>
      <c r="C25" s="131" t="s">
        <v>33</v>
      </c>
    </row>
    <row r="26" spans="2:3">
      <c r="B26" s="130" t="s">
        <v>34</v>
      </c>
      <c r="C26" s="131" t="s">
        <v>33</v>
      </c>
    </row>
    <row r="27" spans="2:3">
      <c r="B27" s="130" t="s">
        <v>35</v>
      </c>
      <c r="C27" s="131" t="s">
        <v>33</v>
      </c>
    </row>
    <row r="28" spans="2:3">
      <c r="B28" s="130" t="s">
        <v>36</v>
      </c>
      <c r="C28" s="131" t="s">
        <v>33</v>
      </c>
    </row>
    <row r="29" spans="2:3">
      <c r="B29" s="130" t="s">
        <v>37</v>
      </c>
      <c r="C29" s="131" t="s">
        <v>33</v>
      </c>
    </row>
    <row r="30" spans="2:3">
      <c r="B30" s="130" t="s">
        <v>38</v>
      </c>
      <c r="C30" s="131" t="s">
        <v>33</v>
      </c>
    </row>
    <row r="31" spans="2:3">
      <c r="B31" s="130" t="s">
        <v>39</v>
      </c>
      <c r="C31" s="131" t="s">
        <v>33</v>
      </c>
    </row>
    <row r="32" spans="2:3">
      <c r="B32" s="130" t="s">
        <v>40</v>
      </c>
      <c r="C32" s="131" t="s">
        <v>33</v>
      </c>
    </row>
    <row r="33" spans="2:3">
      <c r="B33" s="124" t="s">
        <v>41</v>
      </c>
      <c r="C33" s="131" t="s">
        <v>33</v>
      </c>
    </row>
    <row r="34" spans="2:3">
      <c r="B34" s="124" t="s">
        <v>42</v>
      </c>
      <c r="C34" s="131" t="s">
        <v>33</v>
      </c>
    </row>
    <row r="35" spans="2:3">
      <c r="B35" s="124" t="s">
        <v>43</v>
      </c>
      <c r="C35" s="131" t="s">
        <v>33</v>
      </c>
    </row>
    <row r="36" spans="2:3">
      <c r="B36" s="133" t="s">
        <v>44</v>
      </c>
      <c r="C36" s="149" t="s">
        <v>33</v>
      </c>
    </row>
    <row r="37" spans="2:3">
      <c r="C37"/>
    </row>
    <row r="38" spans="2:3">
      <c r="B38" s="75" t="s">
        <v>45</v>
      </c>
      <c r="C38" s="10"/>
    </row>
    <row r="39" spans="2:3">
      <c r="B39" s="153" t="s">
        <v>25</v>
      </c>
      <c r="C39" s="154"/>
    </row>
    <row r="40" spans="2:3">
      <c r="B40" s="130" t="s">
        <v>46</v>
      </c>
      <c r="C40" s="131" t="s">
        <v>47</v>
      </c>
    </row>
    <row r="41" spans="2:3">
      <c r="B41" s="394" t="s">
        <v>48</v>
      </c>
      <c r="C41" s="131" t="s">
        <v>47</v>
      </c>
    </row>
    <row r="42" spans="2:3">
      <c r="B42" s="394" t="s">
        <v>49</v>
      </c>
      <c r="C42" s="131" t="s">
        <v>47</v>
      </c>
    </row>
    <row r="43" spans="2:3">
      <c r="B43" s="394" t="s">
        <v>50</v>
      </c>
      <c r="C43" s="131" t="s">
        <v>47</v>
      </c>
    </row>
    <row r="44" spans="2:3">
      <c r="B44" s="394" t="s">
        <v>51</v>
      </c>
      <c r="C44" s="131" t="s">
        <v>47</v>
      </c>
    </row>
    <row r="45" spans="2:3">
      <c r="B45" s="130" t="s">
        <v>52</v>
      </c>
      <c r="C45" s="131" t="s">
        <v>53</v>
      </c>
    </row>
    <row r="46" spans="2:3">
      <c r="B46" s="130" t="s">
        <v>54</v>
      </c>
      <c r="C46" s="131" t="s">
        <v>53</v>
      </c>
    </row>
    <row r="47" spans="2:3">
      <c r="B47" s="130" t="s">
        <v>55</v>
      </c>
      <c r="C47" s="131" t="s">
        <v>53</v>
      </c>
    </row>
    <row r="48" spans="2:3">
      <c r="B48" s="395" t="s">
        <v>56</v>
      </c>
      <c r="C48" s="131" t="s">
        <v>53</v>
      </c>
    </row>
    <row r="49" spans="2:3">
      <c r="B49" s="130" t="s">
        <v>57</v>
      </c>
      <c r="C49" s="131" t="s">
        <v>58</v>
      </c>
    </row>
    <row r="50" spans="2:3">
      <c r="B50" s="130" t="s">
        <v>59</v>
      </c>
      <c r="C50" s="131" t="s">
        <v>58</v>
      </c>
    </row>
    <row r="51" spans="2:3">
      <c r="B51" s="130" t="s">
        <v>60</v>
      </c>
      <c r="C51" s="131" t="s">
        <v>61</v>
      </c>
    </row>
    <row r="52" spans="2:3">
      <c r="B52" s="130" t="s">
        <v>62</v>
      </c>
      <c r="C52" s="131" t="s">
        <v>61</v>
      </c>
    </row>
    <row r="53" spans="2:3">
      <c r="B53" s="130" t="s">
        <v>63</v>
      </c>
      <c r="C53" s="131" t="s">
        <v>64</v>
      </c>
    </row>
    <row r="54" spans="2:3">
      <c r="B54" s="130" t="s">
        <v>65</v>
      </c>
      <c r="C54" s="131" t="s">
        <v>66</v>
      </c>
    </row>
    <row r="55" spans="2:3">
      <c r="B55" s="395" t="s">
        <v>67</v>
      </c>
      <c r="C55" s="131" t="s">
        <v>68</v>
      </c>
    </row>
    <row r="56" spans="2:3">
      <c r="B56" s="130" t="s">
        <v>69</v>
      </c>
      <c r="C56" s="131" t="s">
        <v>68</v>
      </c>
    </row>
    <row r="57" spans="2:3" ht="15" thickBot="1">
      <c r="B57" s="133" t="s">
        <v>70</v>
      </c>
      <c r="C57" s="134" t="s">
        <v>71</v>
      </c>
    </row>
    <row r="58" spans="2:3">
      <c r="B58" s="135"/>
      <c r="C58" s="136"/>
    </row>
    <row r="59" spans="2:3">
      <c r="B59" s="75" t="s">
        <v>72</v>
      </c>
      <c r="C59" s="10"/>
    </row>
    <row r="60" spans="2:3">
      <c r="B60" s="153" t="s">
        <v>73</v>
      </c>
      <c r="C60" s="154"/>
    </row>
    <row r="61" spans="2:3">
      <c r="B61" s="130" t="s">
        <v>74</v>
      </c>
      <c r="C61" s="150" t="s">
        <v>75</v>
      </c>
    </row>
    <row r="62" spans="2:3" ht="15" thickBot="1">
      <c r="B62" s="396" t="s">
        <v>76</v>
      </c>
      <c r="C62" s="134" t="s">
        <v>77</v>
      </c>
    </row>
    <row r="63" spans="2:3">
      <c r="B63" s="70"/>
      <c r="C63" s="70"/>
    </row>
  </sheetData>
  <sheetProtection algorithmName="SHA-512" hashValue="VM04UIKXoHLRrucGilZjMWvejsb2SANvvD1BweaVqMo8EVzZqPgsWXAJFgm70HhLE2tgGo/mSBU/nkxsmA+aZA==" saltValue="tVb03fL/twqoK64HWEdu3g==" spinCount="100000" sheet="1" objects="1" scenarios="1"/>
  <hyperlinks>
    <hyperlink ref="C62" location="SASB!A1" display="SASB" xr:uid="{B0E6B284-B206-4B45-8364-629374E8E7D3}"/>
    <hyperlink ref="C24" location="Safety!A1" display="Safety" xr:uid="{EE6A1DD9-3F32-4FF2-A60C-1AFA1C0B826D}"/>
    <hyperlink ref="C21" location="Health!A1" display="Health" xr:uid="{A7A77B91-AAD9-4DD1-9D57-81A0A91F9BA9}"/>
    <hyperlink ref="C25" location="People!A1" display="People" xr:uid="{8F603D61-ECDE-45E4-9A7D-483A5CA355B3}"/>
    <hyperlink ref="C40" location="Emissions!A1" display="Emissions" xr:uid="{F6CBCC9B-399A-4297-BB30-9CC4410C0CEE}"/>
    <hyperlink ref="C41:C43" location="Emissions!A1" display="Emissions" xr:uid="{1EA9BA3A-2798-43FD-A6B6-0E86CE0E7816}"/>
    <hyperlink ref="C45" location="Energy!A1" display="Energy" xr:uid="{B6C549D6-74F2-4DB7-9672-E13F33302E03}"/>
    <hyperlink ref="C46:C48" location="Energy!A1" display="Energy" xr:uid="{0F9D36A2-E22E-43CE-96B3-747E985778D4}"/>
    <hyperlink ref="C49" location="Water!A1" display="Water" xr:uid="{53741327-FE17-449E-9618-3F3D907D620B}"/>
    <hyperlink ref="C51" location="Tailings!A1" display="Tailings" xr:uid="{EC5C84BD-1486-4C7E-A094-2616EBE184A1}"/>
    <hyperlink ref="C52" location="Tailings!A1" display="Tailings" xr:uid="{1FD17722-EF56-44A3-B484-5F3712D335C6}"/>
    <hyperlink ref="C55" location="Waste!A1" display="Waste" xr:uid="{35469BB6-8DC2-4769-8978-6C39B461FA7E}"/>
    <hyperlink ref="C57" location="Closure!A1" display="Closure" xr:uid="{8A47C030-60FB-41F1-980C-634B50F8199A}"/>
    <hyperlink ref="C44" location="Emissions!A1" display="Emissions" xr:uid="{18697142-4434-495E-97A7-1567D630F808}"/>
    <hyperlink ref="C56" location="Waste!A1" display="Waste" xr:uid="{92D2E239-514C-4826-AE4A-793D13F4A551}"/>
    <hyperlink ref="C61" location="TCFD!A1" display="TCFD" xr:uid="{0DCA39AB-65C9-4BDD-A925-40FBAC61ADB9}"/>
    <hyperlink ref="C8" location="'Economic Contributions'!A1" display="Economic Contributions" xr:uid="{B704E5B6-AA5F-4173-ACA5-213B5D060E7A}"/>
    <hyperlink ref="C9:C10" location="'Economic Contributions'!A1" display="Economic Contributions" xr:uid="{4185D59B-50BA-405D-9B22-F278F4A40689}"/>
    <hyperlink ref="C26:C31" location="People!A1" display="People" xr:uid="{B7A19D64-9302-42CB-82A1-8EAE3D27B77D}"/>
    <hyperlink ref="C36" location="People!A1" display="People" xr:uid="{5A28B45D-A699-4F85-B727-6E8DC71137E9}"/>
    <hyperlink ref="C53" location="'Biodiversity &amp; Environment'!A1" display="Biodiversity &amp; Environment" xr:uid="{8CF2A3B5-465E-4A13-A584-5D472E9663EF}"/>
    <hyperlink ref="C14" location="'Compliance &amp; Ethics'!A1" display="'Compliance &amp; Ethics" xr:uid="{98F010D0-82AF-45D1-9751-936E9D71F403}"/>
    <hyperlink ref="C15" location="'Compliance &amp; Ethics'!A1" display="'Compliance &amp; Ethics" xr:uid="{C9A3A751-5F39-4703-A281-6DC751BE1D44}"/>
    <hyperlink ref="C16" location="'Compliance &amp; Ethics'!A1" display="'Compliance &amp; Ethics" xr:uid="{1A1416AC-3008-4D64-8DFE-476668F1DC3D}"/>
    <hyperlink ref="C17" location="'Compliance &amp; Ethics'!A1" display="'Compliance &amp; Ethics" xr:uid="{CDA8614C-5B67-4681-93C5-C8E8562CB54D}"/>
    <hyperlink ref="C23" location="Health!A1" display="Health" xr:uid="{5AB44703-F802-47BB-8F45-57E93F164A4E}"/>
    <hyperlink ref="C22" location="Health!A1" display="Health" xr:uid="{BEB3553D-4870-4522-A072-C99DC6EE8969}"/>
    <hyperlink ref="C32" location="People!A1" display="People" xr:uid="{945DCE67-9CE9-4510-B6F2-27B72614D658}"/>
    <hyperlink ref="C33" location="People!A1" display="People" xr:uid="{D56E896F-825D-4B84-ABC6-3A2B9230FEC0}"/>
    <hyperlink ref="C34" location="People!A1" display="People" xr:uid="{9F9B54A4-3BEE-42B4-87EA-56FD6E143035}"/>
    <hyperlink ref="C35" location="People!A1" display="People" xr:uid="{220F4BC1-71F8-4F4B-93B7-0A6947AFC202}"/>
    <hyperlink ref="C50" location="Water!A1" display="Water" xr:uid="{786D8270-62F1-4D77-BB6D-BCE541A8930C}"/>
  </hyperlinks>
  <pageMargins left="0.7" right="0.7" top="0.75" bottom="0.75" header="0.3" footer="0.3"/>
  <pageSetup paperSize="9" scale="85"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453E-DC8D-4B79-BE4A-59599BA640E0}">
  <sheetPr codeName="Sheet3">
    <tabColor theme="5" tint="0.39997558519241921"/>
    <pageSetUpPr autoPageBreaks="0"/>
  </sheetPr>
  <dimension ref="B2:S47"/>
  <sheetViews>
    <sheetView showGridLines="0" zoomScale="112" zoomScaleNormal="160" workbookViewId="0">
      <selection activeCell="B6" sqref="B6"/>
    </sheetView>
  </sheetViews>
  <sheetFormatPr defaultColWidth="8.453125" defaultRowHeight="14.5"/>
  <cols>
    <col min="1" max="1" width="3.453125" style="12" customWidth="1"/>
    <col min="2" max="2" width="49.453125" style="12" customWidth="1"/>
    <col min="3" max="5" width="11.453125" style="12" customWidth="1"/>
    <col min="6" max="6" width="10.453125" style="12" customWidth="1"/>
    <col min="7" max="7" width="14.453125" style="12" customWidth="1"/>
    <col min="8" max="8" width="8.453125" style="12" customWidth="1"/>
    <col min="9" max="9" width="14.54296875" style="12" customWidth="1"/>
    <col min="10" max="16384" width="8.453125" style="12"/>
  </cols>
  <sheetData>
    <row r="2" spans="2:12">
      <c r="D2" s="72" t="s">
        <v>78</v>
      </c>
      <c r="F2" s="88"/>
    </row>
    <row r="3" spans="2:12">
      <c r="G3" s="37"/>
    </row>
    <row r="6" spans="2:12">
      <c r="B6" s="75" t="s">
        <v>11</v>
      </c>
      <c r="H6" s="11"/>
    </row>
    <row r="7" spans="2:12">
      <c r="B7" s="155" t="s">
        <v>79</v>
      </c>
      <c r="C7" s="156" t="s">
        <v>80</v>
      </c>
      <c r="D7" s="157" t="s">
        <v>81</v>
      </c>
      <c r="E7" s="157" t="s">
        <v>82</v>
      </c>
      <c r="F7" s="157" t="s">
        <v>83</v>
      </c>
      <c r="I7" s="11"/>
    </row>
    <row r="8" spans="2:12">
      <c r="B8" s="124" t="s">
        <v>84</v>
      </c>
      <c r="C8" s="257">
        <v>804.4</v>
      </c>
      <c r="D8" s="82">
        <v>696.8</v>
      </c>
      <c r="E8" s="82">
        <v>631.29999999999995</v>
      </c>
      <c r="F8" s="82">
        <v>622.1</v>
      </c>
      <c r="G8" s="100"/>
      <c r="H8" s="57"/>
      <c r="I8" s="11"/>
      <c r="J8" s="38"/>
      <c r="K8" s="38"/>
      <c r="L8" s="38"/>
    </row>
    <row r="9" spans="2:12">
      <c r="B9" s="124" t="s">
        <v>85</v>
      </c>
      <c r="C9" s="257">
        <v>15.1</v>
      </c>
      <c r="D9" s="82">
        <v>19.8</v>
      </c>
      <c r="E9" s="82">
        <v>12.9</v>
      </c>
      <c r="F9" s="82">
        <v>11.3</v>
      </c>
      <c r="G9" s="100"/>
      <c r="I9" s="11"/>
      <c r="J9" s="38"/>
      <c r="K9" s="38"/>
    </row>
    <row r="10" spans="2:12">
      <c r="B10" s="155" t="s">
        <v>79</v>
      </c>
      <c r="C10" s="156" t="s">
        <v>80</v>
      </c>
      <c r="D10" s="157" t="s">
        <v>81</v>
      </c>
      <c r="E10" s="157" t="s">
        <v>82</v>
      </c>
      <c r="F10" s="157" t="s">
        <v>83</v>
      </c>
      <c r="G10" s="100"/>
      <c r="I10" s="11"/>
      <c r="J10" s="38"/>
      <c r="K10" s="38"/>
    </row>
    <row r="11" spans="2:12">
      <c r="B11" s="124" t="s">
        <v>86</v>
      </c>
      <c r="C11" s="257">
        <v>670.5</v>
      </c>
      <c r="D11" s="82">
        <v>277</v>
      </c>
      <c r="E11" s="82">
        <v>90.3</v>
      </c>
      <c r="F11" s="82">
        <v>22.5</v>
      </c>
      <c r="G11" s="100"/>
      <c r="I11" s="11"/>
      <c r="J11" s="38"/>
      <c r="K11" s="38"/>
    </row>
    <row r="12" spans="2:12">
      <c r="B12" s="124" t="s">
        <v>87</v>
      </c>
      <c r="C12" s="257">
        <v>16</v>
      </c>
      <c r="D12" s="82">
        <v>8.4</v>
      </c>
      <c r="E12" s="82">
        <v>5.5</v>
      </c>
      <c r="F12" s="82">
        <v>15.1</v>
      </c>
      <c r="G12" s="100"/>
      <c r="I12" s="11"/>
      <c r="J12" s="38"/>
      <c r="K12" s="38"/>
    </row>
    <row r="13" spans="2:12">
      <c r="B13" s="124" t="s">
        <v>88</v>
      </c>
      <c r="C13" s="257"/>
      <c r="D13" s="82"/>
      <c r="E13" s="82"/>
      <c r="F13" s="82"/>
      <c r="G13" s="100"/>
      <c r="I13" s="11"/>
      <c r="J13" s="38"/>
      <c r="K13" s="38"/>
    </row>
    <row r="14" spans="2:12">
      <c r="B14" s="195" t="s">
        <v>89</v>
      </c>
      <c r="C14" s="257">
        <v>-0.1</v>
      </c>
      <c r="D14" s="82">
        <v>10.9</v>
      </c>
      <c r="E14" s="82">
        <v>-12.5</v>
      </c>
      <c r="F14" s="82">
        <v>3.8</v>
      </c>
      <c r="G14" s="100"/>
      <c r="I14" s="11"/>
      <c r="J14" s="38"/>
      <c r="K14" s="38"/>
    </row>
    <row r="15" spans="2:12">
      <c r="B15" s="195" t="s">
        <v>90</v>
      </c>
      <c r="C15" s="257">
        <v>-40.200000000000003</v>
      </c>
      <c r="D15" s="82">
        <v>27.8</v>
      </c>
      <c r="E15" s="82">
        <v>79.7</v>
      </c>
      <c r="F15" s="82">
        <v>39.9</v>
      </c>
      <c r="G15" s="100"/>
      <c r="I15" s="11"/>
      <c r="J15" s="38"/>
      <c r="K15" s="38"/>
    </row>
    <row r="16" spans="2:12">
      <c r="B16" s="195" t="s">
        <v>91</v>
      </c>
      <c r="C16" s="257">
        <v>-46.1</v>
      </c>
      <c r="D16" s="82">
        <v>-40.299999999999997</v>
      </c>
      <c r="E16" s="82">
        <v>30.9</v>
      </c>
      <c r="F16" s="82">
        <v>-18.399999999999999</v>
      </c>
      <c r="G16" s="100"/>
      <c r="I16" s="11"/>
      <c r="J16" s="38"/>
      <c r="K16" s="38"/>
    </row>
    <row r="17" spans="2:19">
      <c r="B17" s="196" t="s">
        <v>92</v>
      </c>
      <c r="C17" s="376">
        <v>-0.3</v>
      </c>
      <c r="D17" s="190">
        <v>4</v>
      </c>
      <c r="E17" s="190">
        <v>0.1</v>
      </c>
      <c r="F17" s="190">
        <v>-1.1000000000000001</v>
      </c>
      <c r="G17" s="100"/>
      <c r="I17" s="11"/>
      <c r="J17" s="38"/>
      <c r="K17" s="38"/>
    </row>
    <row r="18" spans="2:19">
      <c r="B18" s="197" t="s">
        <v>93</v>
      </c>
      <c r="C18" s="377">
        <v>1.6</v>
      </c>
      <c r="D18" s="194">
        <v>-1.8</v>
      </c>
      <c r="E18" s="194">
        <v>2.2000000000000002</v>
      </c>
      <c r="F18" s="194">
        <v>-1.5</v>
      </c>
      <c r="G18" s="100"/>
      <c r="I18" s="11"/>
      <c r="J18" s="38"/>
      <c r="K18" s="38"/>
    </row>
    <row r="19" spans="2:19">
      <c r="B19" s="192" t="s">
        <v>94</v>
      </c>
      <c r="C19" s="257">
        <v>569.5</v>
      </c>
      <c r="D19" s="82">
        <v>286</v>
      </c>
      <c r="E19" s="82">
        <v>-25</v>
      </c>
      <c r="F19" s="82">
        <v>60.3</v>
      </c>
      <c r="G19" s="100"/>
      <c r="I19" s="11"/>
      <c r="J19" s="38"/>
      <c r="K19" s="38"/>
    </row>
    <row r="20" spans="2:19">
      <c r="B20" s="192" t="s">
        <v>95</v>
      </c>
      <c r="C20" s="257">
        <v>170.8</v>
      </c>
      <c r="D20" s="82">
        <v>85.8</v>
      </c>
      <c r="E20" s="82">
        <v>-7.5</v>
      </c>
      <c r="F20" s="82">
        <v>18.100000000000001</v>
      </c>
      <c r="G20" s="100"/>
      <c r="I20" s="11"/>
      <c r="J20" s="38"/>
      <c r="K20" s="38"/>
    </row>
    <row r="21" spans="2:19">
      <c r="B21" s="192" t="s">
        <v>96</v>
      </c>
      <c r="C21" s="257">
        <v>-28.3</v>
      </c>
      <c r="D21" s="82">
        <v>-6.1</v>
      </c>
      <c r="E21" s="82">
        <v>0</v>
      </c>
      <c r="F21" s="82">
        <v>-20.7</v>
      </c>
      <c r="G21" s="100"/>
      <c r="I21" s="11"/>
      <c r="J21" s="38"/>
      <c r="K21" s="38"/>
    </row>
    <row r="22" spans="2:19">
      <c r="B22" s="192" t="s">
        <v>97</v>
      </c>
      <c r="C22" s="257">
        <v>-12.2</v>
      </c>
      <c r="D22" s="82">
        <v>-11.7</v>
      </c>
      <c r="E22" s="82">
        <v>0</v>
      </c>
      <c r="F22" s="82">
        <v>-2.6</v>
      </c>
      <c r="G22" s="100"/>
      <c r="I22" s="11"/>
      <c r="J22" s="38"/>
      <c r="K22" s="38"/>
    </row>
    <row r="23" spans="2:19" ht="15" thickBot="1">
      <c r="B23" s="193" t="s">
        <v>98</v>
      </c>
      <c r="C23" s="378">
        <v>130.30000000000001</v>
      </c>
      <c r="D23" s="191">
        <v>68</v>
      </c>
      <c r="E23" s="191">
        <v>-7.5</v>
      </c>
      <c r="F23" s="191">
        <v>-5.2</v>
      </c>
      <c r="G23" s="100"/>
      <c r="I23" s="11"/>
      <c r="J23" s="38"/>
      <c r="K23" s="38"/>
    </row>
    <row r="24" spans="2:19">
      <c r="B24" s="106"/>
      <c r="C24" s="106"/>
      <c r="D24" s="106"/>
      <c r="E24" s="102"/>
      <c r="F24" s="102"/>
      <c r="G24" s="18"/>
      <c r="H24" s="11"/>
    </row>
    <row r="25" spans="2:19">
      <c r="B25" s="106"/>
      <c r="C25" s="106"/>
      <c r="D25" s="106"/>
      <c r="E25" s="102"/>
      <c r="F25" s="102"/>
      <c r="G25" s="18"/>
      <c r="H25" s="11"/>
    </row>
    <row r="26" spans="2:19">
      <c r="B26" s="106"/>
      <c r="C26" s="106"/>
      <c r="D26" s="399" t="s">
        <v>99</v>
      </c>
      <c r="E26" s="400"/>
      <c r="F26" s="399" t="s">
        <v>100</v>
      </c>
      <c r="G26" s="400"/>
      <c r="H26" s="399" t="s">
        <v>101</v>
      </c>
      <c r="I26" s="400"/>
      <c r="J26" s="399" t="s">
        <v>102</v>
      </c>
      <c r="K26" s="400"/>
      <c r="L26" s="399" t="s">
        <v>103</v>
      </c>
      <c r="M26" s="400"/>
      <c r="N26" s="399" t="s">
        <v>104</v>
      </c>
      <c r="O26" s="400"/>
      <c r="P26" s="399" t="s">
        <v>105</v>
      </c>
      <c r="Q26" s="400"/>
      <c r="R26" s="399" t="s">
        <v>106</v>
      </c>
      <c r="S26" s="400"/>
    </row>
    <row r="27" spans="2:19">
      <c r="B27" s="155" t="s">
        <v>79</v>
      </c>
      <c r="C27" s="155" t="s">
        <v>107</v>
      </c>
      <c r="D27" s="162" t="s">
        <v>108</v>
      </c>
      <c r="E27" s="163" t="s">
        <v>109</v>
      </c>
      <c r="F27" s="162" t="s">
        <v>108</v>
      </c>
      <c r="G27" s="163" t="s">
        <v>109</v>
      </c>
      <c r="H27" s="162" t="s">
        <v>108</v>
      </c>
      <c r="I27" s="163" t="s">
        <v>109</v>
      </c>
      <c r="J27" s="162" t="s">
        <v>108</v>
      </c>
      <c r="K27" s="163" t="s">
        <v>109</v>
      </c>
      <c r="L27" s="162" t="s">
        <v>108</v>
      </c>
      <c r="M27" s="163" t="s">
        <v>109</v>
      </c>
      <c r="N27" s="162" t="s">
        <v>108</v>
      </c>
      <c r="O27" s="163" t="s">
        <v>109</v>
      </c>
      <c r="P27" s="162" t="s">
        <v>108</v>
      </c>
      <c r="Q27" s="163" t="s">
        <v>109</v>
      </c>
      <c r="R27" s="162" t="s">
        <v>108</v>
      </c>
      <c r="S27" s="163" t="s">
        <v>109</v>
      </c>
    </row>
    <row r="28" spans="2:19">
      <c r="B28" s="124" t="s">
        <v>110</v>
      </c>
      <c r="C28" s="104" t="s">
        <v>111</v>
      </c>
      <c r="D28" s="379">
        <v>4.71</v>
      </c>
      <c r="E28" s="160">
        <v>8.6</v>
      </c>
      <c r="F28" s="379">
        <v>4.04</v>
      </c>
      <c r="G28" s="160">
        <v>6</v>
      </c>
      <c r="H28" s="379">
        <v>0</v>
      </c>
      <c r="I28" s="160">
        <v>0</v>
      </c>
      <c r="J28" s="379">
        <v>0</v>
      </c>
      <c r="K28" s="160">
        <v>0</v>
      </c>
      <c r="L28" s="379">
        <v>0</v>
      </c>
      <c r="M28" s="160">
        <v>0</v>
      </c>
      <c r="N28" s="379">
        <v>0</v>
      </c>
      <c r="O28" s="160">
        <v>0</v>
      </c>
      <c r="P28" s="379">
        <v>6.39</v>
      </c>
      <c r="Q28" s="160">
        <v>5.2</v>
      </c>
      <c r="R28" s="379">
        <v>15.13</v>
      </c>
      <c r="S28" s="160">
        <f>Q28+O28+M28+K28+I28+G28+E28</f>
        <v>19.799999999999997</v>
      </c>
    </row>
    <row r="29" spans="2:19">
      <c r="B29" s="124" t="s">
        <v>112</v>
      </c>
      <c r="C29" s="104" t="s">
        <v>111</v>
      </c>
      <c r="D29" s="379">
        <v>417.3</v>
      </c>
      <c r="E29" s="160">
        <v>464.1</v>
      </c>
      <c r="F29" s="379">
        <v>84.79</v>
      </c>
      <c r="G29" s="160">
        <v>78.2</v>
      </c>
      <c r="H29" s="379">
        <v>92.06</v>
      </c>
      <c r="I29" s="160">
        <v>22.3</v>
      </c>
      <c r="J29" s="379">
        <v>0</v>
      </c>
      <c r="K29" s="160">
        <v>0</v>
      </c>
      <c r="L29" s="379">
        <v>162.4</v>
      </c>
      <c r="M29" s="160">
        <v>89.7</v>
      </c>
      <c r="N29" s="379">
        <v>32.729999999999997</v>
      </c>
      <c r="O29" s="160">
        <v>22.7</v>
      </c>
      <c r="P29" s="379">
        <v>0</v>
      </c>
      <c r="Q29" s="160">
        <v>0</v>
      </c>
      <c r="R29" s="379">
        <v>789.28</v>
      </c>
      <c r="S29" s="160">
        <f>Q29+O29+M29+K29+I29+G29+E29</f>
        <v>677</v>
      </c>
    </row>
    <row r="30" spans="2:19">
      <c r="B30" s="124" t="s">
        <v>113</v>
      </c>
      <c r="C30" s="104" t="s">
        <v>111</v>
      </c>
      <c r="D30" s="379">
        <v>422.01</v>
      </c>
      <c r="E30" s="160">
        <f>E28+E29</f>
        <v>472.70000000000005</v>
      </c>
      <c r="F30" s="379">
        <v>88.83</v>
      </c>
      <c r="G30" s="160">
        <v>84.2</v>
      </c>
      <c r="H30" s="379">
        <v>92.06</v>
      </c>
      <c r="I30" s="160">
        <f>I28+I29</f>
        <v>22.3</v>
      </c>
      <c r="J30" s="379">
        <v>0</v>
      </c>
      <c r="K30" s="160">
        <f>K28+K29</f>
        <v>0</v>
      </c>
      <c r="L30" s="379">
        <v>162.4</v>
      </c>
      <c r="M30" s="160">
        <f>M28+M29</f>
        <v>89.7</v>
      </c>
      <c r="N30" s="379">
        <v>32.729999999999997</v>
      </c>
      <c r="O30" s="160">
        <f>O28+O29</f>
        <v>22.7</v>
      </c>
      <c r="P30" s="379">
        <v>6.39</v>
      </c>
      <c r="Q30" s="160">
        <f>Q28+Q29</f>
        <v>5.2</v>
      </c>
      <c r="R30" s="379">
        <v>804.42</v>
      </c>
      <c r="S30" s="160">
        <f>S28+S29</f>
        <v>696.8</v>
      </c>
    </row>
    <row r="31" spans="2:19">
      <c r="B31" s="106"/>
      <c r="C31" s="106"/>
      <c r="D31" s="106"/>
      <c r="E31" s="102"/>
      <c r="F31" s="102"/>
      <c r="G31" s="18"/>
      <c r="H31" s="11"/>
      <c r="J31" s="53"/>
    </row>
    <row r="33" spans="2:7">
      <c r="B33" s="155" t="s">
        <v>114</v>
      </c>
      <c r="C33" s="155" t="s">
        <v>107</v>
      </c>
      <c r="D33" s="156" t="s">
        <v>80</v>
      </c>
      <c r="E33" s="157" t="s">
        <v>81</v>
      </c>
      <c r="F33" s="157" t="s">
        <v>82</v>
      </c>
      <c r="G33" s="157" t="s">
        <v>83</v>
      </c>
    </row>
    <row r="34" spans="2:7" ht="24" customHeight="1" thickBot="1">
      <c r="B34" s="74" t="s">
        <v>115</v>
      </c>
      <c r="C34" s="74" t="s">
        <v>116</v>
      </c>
      <c r="D34" s="380">
        <v>9.4</v>
      </c>
      <c r="E34" s="381">
        <v>9.1</v>
      </c>
      <c r="F34" s="381">
        <v>7.5</v>
      </c>
      <c r="G34" s="381">
        <v>7.71</v>
      </c>
    </row>
    <row r="35" spans="2:7">
      <c r="B35" s="198"/>
      <c r="C35" s="198"/>
      <c r="D35" s="198"/>
      <c r="E35" s="198"/>
      <c r="G35" s="36"/>
    </row>
    <row r="36" spans="2:7">
      <c r="B36" s="155" t="s">
        <v>114</v>
      </c>
      <c r="C36" s="155" t="s">
        <v>107</v>
      </c>
      <c r="D36" s="156" t="s">
        <v>80</v>
      </c>
      <c r="E36" s="157" t="s">
        <v>81</v>
      </c>
      <c r="F36" s="157" t="s">
        <v>82</v>
      </c>
      <c r="G36" s="157" t="s">
        <v>83</v>
      </c>
    </row>
    <row r="37" spans="2:7">
      <c r="B37" s="398" t="s">
        <v>117</v>
      </c>
      <c r="C37" s="398"/>
      <c r="D37" s="398"/>
      <c r="E37" s="398"/>
      <c r="F37" s="398"/>
      <c r="G37" s="398"/>
    </row>
    <row r="38" spans="2:7">
      <c r="B38" s="147" t="s">
        <v>118</v>
      </c>
      <c r="C38" s="147" t="s">
        <v>119</v>
      </c>
      <c r="D38" s="129">
        <v>53556</v>
      </c>
      <c r="E38" s="199">
        <v>132268</v>
      </c>
      <c r="F38" s="199">
        <v>113053</v>
      </c>
      <c r="G38" s="199">
        <v>132114</v>
      </c>
    </row>
    <row r="39" spans="2:7">
      <c r="B39" s="398" t="s">
        <v>120</v>
      </c>
      <c r="C39" s="398"/>
      <c r="D39" s="398"/>
      <c r="E39" s="398"/>
      <c r="F39" s="398"/>
      <c r="G39" s="398"/>
    </row>
    <row r="40" spans="2:7">
      <c r="B40" s="147" t="s">
        <v>118</v>
      </c>
      <c r="C40" s="147" t="s">
        <v>119</v>
      </c>
      <c r="D40" s="129">
        <v>248108</v>
      </c>
      <c r="E40" s="199">
        <v>160765</v>
      </c>
      <c r="F40" s="199">
        <v>127943</v>
      </c>
      <c r="G40" s="199">
        <v>126511</v>
      </c>
    </row>
    <row r="41" spans="2:7">
      <c r="B41" s="398" t="s">
        <v>121</v>
      </c>
      <c r="C41" s="398"/>
      <c r="D41" s="398"/>
      <c r="E41" s="398"/>
      <c r="F41" s="398"/>
      <c r="G41" s="398"/>
    </row>
    <row r="42" spans="2:7">
      <c r="B42" s="147" t="s">
        <v>118</v>
      </c>
      <c r="C42" s="147" t="s">
        <v>119</v>
      </c>
      <c r="D42" s="129">
        <v>301664</v>
      </c>
      <c r="E42" s="199">
        <v>293033</v>
      </c>
      <c r="F42" s="199">
        <v>240996</v>
      </c>
      <c r="G42" s="199">
        <v>258625</v>
      </c>
    </row>
    <row r="43" spans="2:7">
      <c r="B43" s="198"/>
      <c r="C43" s="198"/>
      <c r="D43" s="198"/>
      <c r="E43" s="198"/>
      <c r="G43" s="36"/>
    </row>
    <row r="44" spans="2:7">
      <c r="B44" s="198"/>
      <c r="C44" s="198"/>
      <c r="D44" s="198"/>
      <c r="E44" s="198"/>
      <c r="G44" s="36"/>
    </row>
    <row r="45" spans="2:7">
      <c r="B45" s="198"/>
      <c r="C45" s="198"/>
      <c r="D45" s="198"/>
      <c r="E45" s="198"/>
      <c r="G45" s="36"/>
    </row>
    <row r="46" spans="2:7">
      <c r="B46" s="198"/>
      <c r="C46" s="198"/>
      <c r="D46" s="198"/>
      <c r="E46" s="198"/>
      <c r="G46" s="36"/>
    </row>
    <row r="47" spans="2:7">
      <c r="B47" s="36"/>
      <c r="C47" s="36"/>
      <c r="D47" s="36"/>
      <c r="E47" s="36"/>
      <c r="F47" s="36"/>
      <c r="G47" s="36"/>
    </row>
  </sheetData>
  <sheetProtection algorithmName="SHA-512" hashValue="Z1/3Jkq8mcT7TBz8p6pNsneKVyHLKFB/Dfhs+8eLpVHzwv5hX6x9yJihdHV3rGBpE0eZQi4CykFO6Dj6yNfaQw==" saltValue="WPgKwAw5NY4hSW3b6OIKLw==" spinCount="100000" sheet="1" objects="1" scenarios="1"/>
  <mergeCells count="11">
    <mergeCell ref="B41:G41"/>
    <mergeCell ref="N26:O26"/>
    <mergeCell ref="R26:S26"/>
    <mergeCell ref="P26:Q26"/>
    <mergeCell ref="B37:G37"/>
    <mergeCell ref="B39:G39"/>
    <mergeCell ref="D26:E26"/>
    <mergeCell ref="F26:G26"/>
    <mergeCell ref="H26:I26"/>
    <mergeCell ref="J26:K26"/>
    <mergeCell ref="L26:M26"/>
  </mergeCells>
  <pageMargins left="0.7" right="0.7" top="0.75" bottom="0.75" header="0.3" footer="0.3"/>
  <pageSetup paperSize="9" scale="87"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3C35-5F63-496B-A47D-5B42292A6B79}">
  <sheetPr codeName="Sheet11">
    <tabColor theme="5" tint="0.39997558519241921"/>
  </sheetPr>
  <dimension ref="B2:O31"/>
  <sheetViews>
    <sheetView showGridLines="0" workbookViewId="0">
      <selection activeCell="F16" sqref="F16"/>
    </sheetView>
  </sheetViews>
  <sheetFormatPr defaultRowHeight="14.5"/>
  <cols>
    <col min="1" max="1" width="3.36328125" customWidth="1"/>
    <col min="2" max="2" width="27.54296875" customWidth="1"/>
  </cols>
  <sheetData>
    <row r="2" spans="2:15">
      <c r="H2" s="12"/>
      <c r="I2" s="72" t="s">
        <v>78</v>
      </c>
    </row>
    <row r="7" spans="2:15">
      <c r="B7" s="155" t="s">
        <v>122</v>
      </c>
      <c r="C7" s="155" t="s">
        <v>107</v>
      </c>
      <c r="D7" s="158" t="s">
        <v>123</v>
      </c>
      <c r="E7" s="158" t="s">
        <v>124</v>
      </c>
      <c r="F7" s="158" t="s">
        <v>125</v>
      </c>
      <c r="G7" s="158" t="s">
        <v>126</v>
      </c>
      <c r="H7" s="158" t="s">
        <v>127</v>
      </c>
      <c r="I7" s="158" t="s">
        <v>128</v>
      </c>
      <c r="J7" s="158" t="s">
        <v>129</v>
      </c>
      <c r="K7" s="158" t="s">
        <v>113</v>
      </c>
    </row>
    <row r="8" spans="2:15" ht="23.5" customHeight="1">
      <c r="B8" s="147" t="s">
        <v>130</v>
      </c>
      <c r="C8" s="147" t="s">
        <v>131</v>
      </c>
      <c r="D8" s="170">
        <v>0</v>
      </c>
      <c r="E8" s="170">
        <v>0</v>
      </c>
      <c r="F8" s="170">
        <v>0</v>
      </c>
      <c r="G8" s="170">
        <v>0</v>
      </c>
      <c r="H8" s="170">
        <v>0</v>
      </c>
      <c r="I8" s="170">
        <v>0</v>
      </c>
      <c r="J8" s="201">
        <v>0</v>
      </c>
      <c r="K8" s="201">
        <v>0</v>
      </c>
      <c r="L8" s="357"/>
      <c r="M8" s="357"/>
      <c r="N8" s="357"/>
      <c r="O8" s="357"/>
    </row>
    <row r="9" spans="2:15" ht="23.5" customHeight="1">
      <c r="B9" s="147" t="s">
        <v>132</v>
      </c>
      <c r="C9" s="147" t="s">
        <v>133</v>
      </c>
      <c r="D9" s="170">
        <v>0</v>
      </c>
      <c r="E9" s="170">
        <v>0</v>
      </c>
      <c r="F9" s="170">
        <v>0</v>
      </c>
      <c r="G9" s="170">
        <v>0</v>
      </c>
      <c r="H9" s="170">
        <v>0</v>
      </c>
      <c r="I9" s="170">
        <v>0</v>
      </c>
      <c r="J9" s="201">
        <v>0</v>
      </c>
      <c r="K9" s="201">
        <v>0</v>
      </c>
      <c r="L9" s="357"/>
      <c r="M9" s="357"/>
      <c r="N9" s="357"/>
      <c r="O9" s="357"/>
    </row>
    <row r="10" spans="2:15" ht="23.5" customHeight="1">
      <c r="B10" s="147" t="s">
        <v>134</v>
      </c>
      <c r="C10" s="147" t="s">
        <v>131</v>
      </c>
      <c r="D10" s="170">
        <v>0</v>
      </c>
      <c r="E10" s="170">
        <v>0</v>
      </c>
      <c r="F10" s="170">
        <v>0</v>
      </c>
      <c r="G10" s="170">
        <v>0</v>
      </c>
      <c r="H10" s="170">
        <v>0</v>
      </c>
      <c r="I10" s="170">
        <v>0</v>
      </c>
      <c r="J10" s="201">
        <v>0</v>
      </c>
      <c r="K10" s="201">
        <v>0</v>
      </c>
      <c r="L10" s="357"/>
      <c r="M10" s="357"/>
      <c r="N10" s="357"/>
      <c r="O10" s="357"/>
    </row>
    <row r="11" spans="2:15" ht="23.5" customHeight="1">
      <c r="B11" s="147" t="s">
        <v>135</v>
      </c>
      <c r="C11" s="147" t="s">
        <v>131</v>
      </c>
      <c r="D11" s="201">
        <v>1</v>
      </c>
      <c r="E11" s="201">
        <v>0</v>
      </c>
      <c r="F11" s="201">
        <v>0</v>
      </c>
      <c r="G11" s="201">
        <v>1</v>
      </c>
      <c r="H11" s="201">
        <v>0</v>
      </c>
      <c r="I11" s="201">
        <v>0</v>
      </c>
      <c r="J11" s="201">
        <v>0</v>
      </c>
      <c r="K11" s="201">
        <f>SUM(D11:J11)</f>
        <v>2</v>
      </c>
      <c r="L11" s="357"/>
      <c r="M11" s="357"/>
      <c r="N11" s="357"/>
      <c r="O11" s="357"/>
    </row>
    <row r="12" spans="2:15" ht="23.5" customHeight="1">
      <c r="B12" s="147" t="s">
        <v>136</v>
      </c>
      <c r="C12" s="147" t="s">
        <v>131</v>
      </c>
      <c r="D12" s="201">
        <v>7</v>
      </c>
      <c r="E12" s="201">
        <v>11</v>
      </c>
      <c r="F12" s="201">
        <v>0</v>
      </c>
      <c r="G12" s="201">
        <v>4</v>
      </c>
      <c r="H12" s="201">
        <v>0</v>
      </c>
      <c r="I12" s="201"/>
      <c r="J12" s="201">
        <v>2</v>
      </c>
      <c r="K12" s="201">
        <f>SUM(D12:J12)</f>
        <v>24</v>
      </c>
      <c r="L12" s="357"/>
      <c r="M12" s="357"/>
      <c r="N12" s="357"/>
      <c r="O12" s="357"/>
    </row>
    <row r="14" spans="2:15">
      <c r="B14" s="202" t="s">
        <v>137</v>
      </c>
    </row>
    <row r="15" spans="2:15">
      <c r="B15" s="202" t="s">
        <v>138</v>
      </c>
    </row>
    <row r="16" spans="2:15">
      <c r="B16" s="202" t="s">
        <v>139</v>
      </c>
    </row>
    <row r="18" spans="2:6">
      <c r="B18" s="165" t="s">
        <v>140</v>
      </c>
      <c r="C18" s="155" t="s">
        <v>107</v>
      </c>
      <c r="D18" s="166" t="s">
        <v>108</v>
      </c>
      <c r="E18" s="163" t="s">
        <v>109</v>
      </c>
      <c r="F18" s="163" t="s">
        <v>141</v>
      </c>
    </row>
    <row r="19" spans="2:6" ht="28.5">
      <c r="B19" s="203" t="s">
        <v>142</v>
      </c>
      <c r="C19" s="147" t="s">
        <v>131</v>
      </c>
      <c r="D19" s="332">
        <v>0</v>
      </c>
      <c r="E19" s="169">
        <v>0</v>
      </c>
      <c r="F19" s="169">
        <v>0</v>
      </c>
    </row>
    <row r="20" spans="2:6">
      <c r="B20" s="203" t="s">
        <v>143</v>
      </c>
      <c r="C20" s="147" t="s">
        <v>133</v>
      </c>
      <c r="D20" s="332">
        <v>0</v>
      </c>
      <c r="E20" s="168">
        <v>0</v>
      </c>
      <c r="F20" s="168">
        <v>0</v>
      </c>
    </row>
    <row r="21" spans="2:6">
      <c r="B21" s="203" t="s">
        <v>134</v>
      </c>
      <c r="C21" s="147" t="s">
        <v>131</v>
      </c>
      <c r="D21" s="332">
        <v>0</v>
      </c>
      <c r="E21" s="168">
        <v>0</v>
      </c>
      <c r="F21" s="168">
        <v>0</v>
      </c>
    </row>
    <row r="23" spans="2:6">
      <c r="B23" s="165" t="s">
        <v>144</v>
      </c>
      <c r="C23" s="155" t="s">
        <v>107</v>
      </c>
      <c r="D23" s="166" t="s">
        <v>108</v>
      </c>
      <c r="E23" s="163" t="s">
        <v>109</v>
      </c>
    </row>
    <row r="24" spans="2:6">
      <c r="B24" s="203" t="s">
        <v>145</v>
      </c>
      <c r="C24" s="147" t="s">
        <v>131</v>
      </c>
      <c r="D24" s="332">
        <v>0</v>
      </c>
      <c r="E24" s="169">
        <v>0</v>
      </c>
    </row>
    <row r="25" spans="2:6" ht="19">
      <c r="B25" s="203" t="s">
        <v>146</v>
      </c>
      <c r="C25" s="147" t="s">
        <v>131</v>
      </c>
      <c r="D25" s="332">
        <v>0</v>
      </c>
      <c r="E25" s="168">
        <v>0</v>
      </c>
    </row>
    <row r="26" spans="2:6" ht="19">
      <c r="B26" s="203" t="s">
        <v>146</v>
      </c>
      <c r="C26" s="147" t="s">
        <v>131</v>
      </c>
      <c r="D26" s="332">
        <v>0</v>
      </c>
      <c r="E26" s="168">
        <v>0</v>
      </c>
    </row>
    <row r="27" spans="2:6" ht="19">
      <c r="B27" s="203" t="s">
        <v>147</v>
      </c>
      <c r="C27" s="147" t="s">
        <v>131</v>
      </c>
      <c r="D27" s="333">
        <v>1</v>
      </c>
      <c r="E27" s="334">
        <v>1</v>
      </c>
    </row>
    <row r="29" spans="2:6">
      <c r="B29" s="165" t="s">
        <v>148</v>
      </c>
      <c r="C29" s="155" t="s">
        <v>107</v>
      </c>
      <c r="D29" s="166" t="s">
        <v>108</v>
      </c>
      <c r="E29" s="163" t="s">
        <v>109</v>
      </c>
      <c r="F29" s="163" t="s">
        <v>141</v>
      </c>
    </row>
    <row r="30" spans="2:6">
      <c r="B30" s="203" t="s">
        <v>149</v>
      </c>
      <c r="C30" s="147" t="s">
        <v>131</v>
      </c>
      <c r="D30" s="332">
        <v>0</v>
      </c>
      <c r="E30" s="169">
        <v>0</v>
      </c>
      <c r="F30" s="169">
        <v>0</v>
      </c>
    </row>
    <row r="31" spans="2:6" ht="28.5">
      <c r="B31" s="203" t="s">
        <v>150</v>
      </c>
      <c r="C31" s="147" t="s">
        <v>131</v>
      </c>
      <c r="D31" s="332">
        <v>0</v>
      </c>
      <c r="E31" s="168">
        <v>0</v>
      </c>
      <c r="F31" s="168">
        <v>0</v>
      </c>
    </row>
  </sheetData>
  <sheetProtection algorithmName="SHA-512" hashValue="P0+wvNZ5LZ4zN6XwAULo4lTyoRcAmmiidjUGNCKLDJZ+u7VzTqaNK6Cykt4AcEvH3OhN9t/EeKC3Sf6bryMC2Q==" saltValue="oZi2zc6PCip/wPmTgALSCg=="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6333B-B314-4675-AC1C-C1D70D34A649}">
  <sheetPr codeName="Sheet9">
    <tabColor theme="5" tint="0.39997558519241921"/>
    <pageSetUpPr autoPageBreaks="0"/>
  </sheetPr>
  <dimension ref="A1:AD93"/>
  <sheetViews>
    <sheetView showGridLines="0" zoomScale="130" zoomScaleNormal="130" workbookViewId="0">
      <selection activeCell="C14" sqref="C14"/>
    </sheetView>
  </sheetViews>
  <sheetFormatPr defaultColWidth="8.453125" defaultRowHeight="14.5"/>
  <cols>
    <col min="1" max="1" width="3.453125" style="12" customWidth="1"/>
    <col min="2" max="2" width="44.453125" style="12" customWidth="1"/>
    <col min="3" max="3" width="21.81640625" style="12" customWidth="1"/>
    <col min="4" max="4" width="14.36328125" style="12" customWidth="1"/>
    <col min="5" max="5" width="20.81640625" style="12" customWidth="1"/>
    <col min="6" max="6" width="18.90625" style="12" customWidth="1"/>
    <col min="7" max="8" width="11.81640625" style="12" customWidth="1"/>
    <col min="9" max="15" width="11.54296875" style="12" customWidth="1"/>
    <col min="16" max="30" width="10.54296875" style="12" customWidth="1"/>
    <col min="31" max="16384" width="8.453125" style="12"/>
  </cols>
  <sheetData>
    <row r="1" spans="1:30">
      <c r="A1" s="11"/>
      <c r="B1" s="11"/>
      <c r="C1" s="19"/>
      <c r="D1" s="19"/>
      <c r="E1" s="19"/>
      <c r="F1" s="19"/>
      <c r="G1" s="19"/>
      <c r="H1" s="11"/>
    </row>
    <row r="2" spans="1:30">
      <c r="A2" s="11"/>
      <c r="B2" s="11"/>
      <c r="C2" s="19"/>
      <c r="D2" s="19"/>
      <c r="E2" s="19"/>
      <c r="F2" s="19"/>
      <c r="G2" s="34"/>
      <c r="H2" s="72" t="s">
        <v>78</v>
      </c>
    </row>
    <row r="3" spans="1:30">
      <c r="A3" s="11"/>
      <c r="B3" s="11"/>
      <c r="C3" s="19"/>
      <c r="D3" s="19"/>
      <c r="E3" s="19"/>
      <c r="F3" s="19"/>
      <c r="G3" s="19"/>
      <c r="H3" s="11"/>
    </row>
    <row r="4" spans="1:30">
      <c r="A4" s="11"/>
      <c r="B4" s="11"/>
      <c r="C4" s="19"/>
      <c r="D4" s="19"/>
      <c r="E4" s="19"/>
      <c r="F4" s="19"/>
      <c r="G4" s="19"/>
      <c r="H4" s="11"/>
    </row>
    <row r="5" spans="1:30">
      <c r="A5" s="11"/>
      <c r="B5" s="11"/>
      <c r="C5" s="19"/>
      <c r="D5" s="19"/>
      <c r="E5" s="19"/>
      <c r="F5" s="19"/>
      <c r="G5" s="19"/>
      <c r="H5" s="11"/>
    </row>
    <row r="6" spans="1:30">
      <c r="A6" s="11"/>
      <c r="B6" s="54"/>
      <c r="C6" s="146"/>
      <c r="D6" s="146"/>
      <c r="E6" s="54"/>
      <c r="F6" s="54"/>
      <c r="G6" s="54"/>
      <c r="H6" s="11"/>
    </row>
    <row r="7" spans="1:30">
      <c r="A7" s="30"/>
      <c r="B7" s="75" t="s">
        <v>151</v>
      </c>
      <c r="C7" s="75"/>
      <c r="D7" s="399" t="s">
        <v>123</v>
      </c>
      <c r="E7" s="402"/>
      <c r="F7" s="400"/>
      <c r="G7" s="399" t="s">
        <v>124</v>
      </c>
      <c r="H7" s="402"/>
      <c r="I7" s="400"/>
      <c r="J7" s="399" t="s">
        <v>125</v>
      </c>
      <c r="K7" s="402"/>
      <c r="L7" s="400"/>
      <c r="M7" s="399" t="s">
        <v>152</v>
      </c>
      <c r="N7" s="402"/>
      <c r="O7" s="400"/>
      <c r="P7" s="399" t="s">
        <v>126</v>
      </c>
      <c r="Q7" s="402"/>
      <c r="R7" s="400"/>
      <c r="S7" s="399" t="s">
        <v>127</v>
      </c>
      <c r="T7" s="402"/>
      <c r="U7" s="400"/>
      <c r="V7" s="399" t="s">
        <v>128</v>
      </c>
      <c r="W7" s="402"/>
      <c r="X7" s="400"/>
      <c r="Y7" s="399" t="s">
        <v>153</v>
      </c>
      <c r="Z7" s="402"/>
      <c r="AA7" s="400"/>
      <c r="AB7" s="399" t="s">
        <v>154</v>
      </c>
      <c r="AC7" s="402"/>
      <c r="AD7" s="400"/>
    </row>
    <row r="8" spans="1:30">
      <c r="A8" s="30"/>
      <c r="B8" s="155" t="s">
        <v>155</v>
      </c>
      <c r="C8" s="155" t="s">
        <v>107</v>
      </c>
      <c r="D8" s="162" t="s">
        <v>108</v>
      </c>
      <c r="E8" s="171" t="s">
        <v>109</v>
      </c>
      <c r="F8" s="166" t="s">
        <v>141</v>
      </c>
      <c r="G8" s="162" t="s">
        <v>108</v>
      </c>
      <c r="H8" s="171" t="s">
        <v>109</v>
      </c>
      <c r="I8" s="166" t="s">
        <v>141</v>
      </c>
      <c r="J8" s="162" t="s">
        <v>108</v>
      </c>
      <c r="K8" s="171" t="s">
        <v>109</v>
      </c>
      <c r="L8" s="166" t="s">
        <v>141</v>
      </c>
      <c r="M8" s="162" t="s">
        <v>108</v>
      </c>
      <c r="N8" s="171" t="s">
        <v>109</v>
      </c>
      <c r="O8" s="166" t="s">
        <v>141</v>
      </c>
      <c r="P8" s="162" t="s">
        <v>108</v>
      </c>
      <c r="Q8" s="171" t="s">
        <v>109</v>
      </c>
      <c r="R8" s="166" t="s">
        <v>141</v>
      </c>
      <c r="S8" s="162" t="s">
        <v>108</v>
      </c>
      <c r="T8" s="171" t="s">
        <v>109</v>
      </c>
      <c r="U8" s="166" t="s">
        <v>141</v>
      </c>
      <c r="V8" s="162" t="s">
        <v>108</v>
      </c>
      <c r="W8" s="171" t="s">
        <v>109</v>
      </c>
      <c r="X8" s="166" t="s">
        <v>141</v>
      </c>
      <c r="Y8" s="162" t="s">
        <v>108</v>
      </c>
      <c r="Z8" s="171" t="s">
        <v>109</v>
      </c>
      <c r="AA8" s="166" t="s">
        <v>141</v>
      </c>
      <c r="AB8" s="162" t="s">
        <v>108</v>
      </c>
      <c r="AC8" s="171" t="s">
        <v>109</v>
      </c>
      <c r="AD8" s="166" t="s">
        <v>141</v>
      </c>
    </row>
    <row r="9" spans="1:30">
      <c r="A9" s="30"/>
      <c r="B9" s="172" t="s">
        <v>156</v>
      </c>
      <c r="C9" s="173" t="s">
        <v>157</v>
      </c>
      <c r="D9" s="298">
        <v>20891</v>
      </c>
      <c r="E9" s="181">
        <v>33294</v>
      </c>
      <c r="F9" s="182">
        <v>31502</v>
      </c>
      <c r="G9" s="298">
        <v>53175</v>
      </c>
      <c r="H9" s="181">
        <v>65519</v>
      </c>
      <c r="I9" s="182">
        <v>62379</v>
      </c>
      <c r="J9" s="298">
        <v>672</v>
      </c>
      <c r="K9" s="181">
        <v>5386</v>
      </c>
      <c r="L9" s="182">
        <v>6754</v>
      </c>
      <c r="M9" s="298">
        <v>17395</v>
      </c>
      <c r="N9" s="181">
        <v>460</v>
      </c>
      <c r="O9" s="182">
        <v>0</v>
      </c>
      <c r="P9" s="298">
        <v>9258</v>
      </c>
      <c r="Q9" s="181">
        <v>7928</v>
      </c>
      <c r="R9" s="182">
        <v>7360</v>
      </c>
      <c r="S9" s="298">
        <v>650</v>
      </c>
      <c r="T9" s="181">
        <v>624</v>
      </c>
      <c r="U9" s="182">
        <v>11170</v>
      </c>
      <c r="V9" s="298">
        <v>460</v>
      </c>
      <c r="W9" s="181">
        <v>4291</v>
      </c>
      <c r="X9" s="182">
        <v>0</v>
      </c>
      <c r="Y9" s="298">
        <v>3.89</v>
      </c>
      <c r="Z9" s="181">
        <v>0</v>
      </c>
      <c r="AA9" s="182">
        <v>0</v>
      </c>
      <c r="AB9" s="298">
        <v>582</v>
      </c>
      <c r="AC9" s="181">
        <v>867</v>
      </c>
      <c r="AD9" s="182">
        <v>426</v>
      </c>
    </row>
    <row r="10" spans="1:30">
      <c r="A10" s="30"/>
      <c r="B10" s="172" t="s">
        <v>158</v>
      </c>
      <c r="C10" s="173" t="s">
        <v>157</v>
      </c>
      <c r="D10" s="298">
        <v>19590</v>
      </c>
      <c r="E10" s="181">
        <v>28279</v>
      </c>
      <c r="F10" s="182">
        <v>27480</v>
      </c>
      <c r="G10" s="298">
        <v>0</v>
      </c>
      <c r="H10" s="181">
        <v>97</v>
      </c>
      <c r="I10" s="182">
        <v>0</v>
      </c>
      <c r="J10" s="298">
        <v>0</v>
      </c>
      <c r="K10" s="181">
        <v>0</v>
      </c>
      <c r="L10" s="182">
        <v>0</v>
      </c>
      <c r="M10" s="298">
        <v>0</v>
      </c>
      <c r="N10" s="181">
        <v>0</v>
      </c>
      <c r="O10" s="182">
        <v>0</v>
      </c>
      <c r="P10" s="298">
        <v>0</v>
      </c>
      <c r="Q10" s="181">
        <v>0</v>
      </c>
      <c r="R10" s="182">
        <v>0</v>
      </c>
      <c r="S10" s="298">
        <v>0</v>
      </c>
      <c r="T10" s="181">
        <v>218</v>
      </c>
      <c r="U10" s="182">
        <v>247</v>
      </c>
      <c r="V10" s="298">
        <v>0</v>
      </c>
      <c r="W10" s="181">
        <v>0</v>
      </c>
      <c r="X10" s="182">
        <v>0</v>
      </c>
      <c r="Y10" s="298">
        <v>78.400000000000006</v>
      </c>
      <c r="Z10" s="181">
        <v>80</v>
      </c>
      <c r="AA10" s="182">
        <v>72</v>
      </c>
      <c r="AB10" s="298">
        <v>0</v>
      </c>
      <c r="AC10" s="181">
        <v>0</v>
      </c>
      <c r="AD10" s="182">
        <v>0</v>
      </c>
    </row>
    <row r="11" spans="1:30">
      <c r="A11" s="30"/>
      <c r="B11" s="172" t="s">
        <v>162</v>
      </c>
      <c r="C11" s="173" t="s">
        <v>157</v>
      </c>
      <c r="D11" s="298">
        <f t="shared" ref="D11:AD11" si="0">D9+D10</f>
        <v>40481</v>
      </c>
      <c r="E11" s="181">
        <f t="shared" si="0"/>
        <v>61573</v>
      </c>
      <c r="F11" s="182">
        <f t="shared" si="0"/>
        <v>58982</v>
      </c>
      <c r="G11" s="298">
        <f t="shared" si="0"/>
        <v>53175</v>
      </c>
      <c r="H11" s="181">
        <f t="shared" si="0"/>
        <v>65616</v>
      </c>
      <c r="I11" s="182">
        <f t="shared" si="0"/>
        <v>62379</v>
      </c>
      <c r="J11" s="298">
        <f t="shared" si="0"/>
        <v>672</v>
      </c>
      <c r="K11" s="181">
        <f t="shared" si="0"/>
        <v>5386</v>
      </c>
      <c r="L11" s="182">
        <f t="shared" si="0"/>
        <v>6754</v>
      </c>
      <c r="M11" s="298">
        <f t="shared" si="0"/>
        <v>17395</v>
      </c>
      <c r="N11" s="181">
        <f t="shared" si="0"/>
        <v>460</v>
      </c>
      <c r="O11" s="182">
        <f t="shared" si="0"/>
        <v>0</v>
      </c>
      <c r="P11" s="298">
        <f t="shared" si="0"/>
        <v>9258</v>
      </c>
      <c r="Q11" s="181">
        <f t="shared" si="0"/>
        <v>7928</v>
      </c>
      <c r="R11" s="182">
        <f t="shared" si="0"/>
        <v>7360</v>
      </c>
      <c r="S11" s="298">
        <f t="shared" si="0"/>
        <v>650</v>
      </c>
      <c r="T11" s="181">
        <f t="shared" si="0"/>
        <v>842</v>
      </c>
      <c r="U11" s="182">
        <f t="shared" si="0"/>
        <v>11417</v>
      </c>
      <c r="V11" s="298">
        <f t="shared" si="0"/>
        <v>460</v>
      </c>
      <c r="W11" s="181">
        <f t="shared" si="0"/>
        <v>4291</v>
      </c>
      <c r="X11" s="182">
        <f t="shared" si="0"/>
        <v>0</v>
      </c>
      <c r="Y11" s="298">
        <f t="shared" si="0"/>
        <v>82.29</v>
      </c>
      <c r="Z11" s="181">
        <f t="shared" si="0"/>
        <v>80</v>
      </c>
      <c r="AA11" s="182">
        <f t="shared" si="0"/>
        <v>72</v>
      </c>
      <c r="AB11" s="298">
        <f t="shared" si="0"/>
        <v>582</v>
      </c>
      <c r="AC11" s="181">
        <f t="shared" si="0"/>
        <v>867</v>
      </c>
      <c r="AD11" s="182">
        <f t="shared" si="0"/>
        <v>426</v>
      </c>
    </row>
    <row r="12" spans="1:30">
      <c r="A12" s="30"/>
      <c r="B12" s="97"/>
      <c r="C12" s="109"/>
      <c r="D12" s="109"/>
      <c r="E12" s="110"/>
      <c r="F12" s="110"/>
      <c r="G12" s="102"/>
      <c r="H12" s="99"/>
    </row>
    <row r="13" spans="1:30">
      <c r="A13" s="30"/>
      <c r="B13" s="97"/>
      <c r="C13" s="109"/>
      <c r="D13" s="403" t="s">
        <v>159</v>
      </c>
      <c r="E13" s="404"/>
      <c r="F13" s="404"/>
      <c r="G13" s="404"/>
      <c r="H13" s="404"/>
    </row>
    <row r="14" spans="1:30">
      <c r="A14" s="30"/>
      <c r="B14" s="155" t="s">
        <v>155</v>
      </c>
      <c r="C14" s="155" t="s">
        <v>107</v>
      </c>
      <c r="D14" s="162" t="s">
        <v>108</v>
      </c>
      <c r="E14" s="171" t="s">
        <v>109</v>
      </c>
      <c r="F14" s="171" t="s">
        <v>141</v>
      </c>
      <c r="G14" s="171" t="s">
        <v>160</v>
      </c>
      <c r="H14" s="171" t="s">
        <v>161</v>
      </c>
      <c r="I14"/>
      <c r="J14"/>
    </row>
    <row r="15" spans="1:30">
      <c r="A15" s="30"/>
      <c r="B15" s="172" t="s">
        <v>156</v>
      </c>
      <c r="C15" s="173" t="s">
        <v>157</v>
      </c>
      <c r="D15" s="263">
        <f>D9+G9+J9+M9+P9+S9+V9+Y9+AB9</f>
        <v>103086.89</v>
      </c>
      <c r="E15" s="142">
        <v>118369</v>
      </c>
      <c r="F15" s="142">
        <v>122977</v>
      </c>
      <c r="G15" s="142">
        <v>133398</v>
      </c>
      <c r="H15" s="139">
        <v>112496</v>
      </c>
      <c r="I15"/>
      <c r="J15"/>
      <c r="M15" s="57"/>
    </row>
    <row r="16" spans="1:30">
      <c r="A16" s="30"/>
      <c r="B16" s="172" t="s">
        <v>158</v>
      </c>
      <c r="C16" s="173" t="s">
        <v>157</v>
      </c>
      <c r="D16" s="263">
        <f>D10+G10+J10+M10+P10+S10+V10+Y10+AB10</f>
        <v>19668.400000000001</v>
      </c>
      <c r="E16" s="142">
        <v>28673</v>
      </c>
      <c r="F16" s="140">
        <v>27727</v>
      </c>
      <c r="G16" s="140">
        <v>40206</v>
      </c>
      <c r="H16" s="140">
        <v>40805</v>
      </c>
      <c r="I16"/>
      <c r="J16"/>
    </row>
    <row r="17" spans="1:24">
      <c r="A17" s="30"/>
      <c r="B17" s="172" t="s">
        <v>162</v>
      </c>
      <c r="C17" s="173" t="s">
        <v>157</v>
      </c>
      <c r="D17" s="263">
        <f>D15+D16</f>
        <v>122755.29000000001</v>
      </c>
      <c r="E17" s="142">
        <v>147042</v>
      </c>
      <c r="F17" s="142">
        <v>150704</v>
      </c>
      <c r="G17" s="142">
        <v>173603</v>
      </c>
      <c r="H17" s="142">
        <v>153302</v>
      </c>
      <c r="I17" s="344"/>
      <c r="J17"/>
    </row>
    <row r="18" spans="1:24">
      <c r="A18" s="30"/>
      <c r="B18" s="391" t="s">
        <v>622</v>
      </c>
      <c r="C18" s="173" t="s">
        <v>157</v>
      </c>
      <c r="D18" s="392">
        <f>SUM(C67:C81)</f>
        <v>166131.46739430097</v>
      </c>
      <c r="E18" s="393"/>
      <c r="F18" s="393"/>
      <c r="G18" s="393"/>
      <c r="H18" s="393"/>
      <c r="I18" s="344"/>
      <c r="J18"/>
    </row>
    <row r="19" spans="1:24" ht="15" thickBot="1">
      <c r="A19" s="30"/>
      <c r="B19" s="107" t="s">
        <v>163</v>
      </c>
      <c r="C19" s="252" t="s">
        <v>164</v>
      </c>
      <c r="D19" s="335">
        <f>D17/301664</f>
        <v>0.40692721040627988</v>
      </c>
      <c r="E19" s="259">
        <v>0.5</v>
      </c>
      <c r="F19" s="259">
        <v>0.63</v>
      </c>
      <c r="G19" s="259">
        <v>0.67</v>
      </c>
      <c r="H19" s="259">
        <v>0.56000000000000005</v>
      </c>
      <c r="I19"/>
      <c r="J19"/>
    </row>
    <row r="20" spans="1:24" ht="14.15" customHeight="1">
      <c r="B20" s="97" t="s">
        <v>165</v>
      </c>
      <c r="C20" s="97"/>
      <c r="D20" s="97"/>
      <c r="E20" s="97"/>
      <c r="F20" s="97"/>
      <c r="G20" s="97"/>
      <c r="H20" s="100"/>
    </row>
    <row r="21" spans="1:24" ht="14.15" customHeight="1">
      <c r="B21" s="97"/>
      <c r="C21" s="97"/>
      <c r="D21" s="97"/>
      <c r="E21" s="97"/>
      <c r="F21" s="97"/>
      <c r="G21" s="97"/>
      <c r="H21" s="100"/>
    </row>
    <row r="22" spans="1:24">
      <c r="A22" s="30"/>
      <c r="B22" s="75"/>
      <c r="C22" s="75"/>
      <c r="D22" s="399" t="s">
        <v>124</v>
      </c>
      <c r="E22" s="402"/>
      <c r="F22" s="400"/>
      <c r="G22" s="399" t="s">
        <v>123</v>
      </c>
      <c r="H22" s="402"/>
      <c r="I22" s="400"/>
      <c r="J22" s="399" t="s">
        <v>113</v>
      </c>
      <c r="K22" s="402"/>
      <c r="L22" s="400"/>
    </row>
    <row r="23" spans="1:24">
      <c r="A23" s="30"/>
      <c r="B23" s="155" t="s">
        <v>166</v>
      </c>
      <c r="C23" s="155" t="s">
        <v>107</v>
      </c>
      <c r="D23" s="162" t="s">
        <v>108</v>
      </c>
      <c r="E23" s="171" t="s">
        <v>109</v>
      </c>
      <c r="F23" s="166" t="s">
        <v>141</v>
      </c>
      <c r="G23" s="162" t="s">
        <v>108</v>
      </c>
      <c r="H23" s="171" t="s">
        <v>109</v>
      </c>
      <c r="I23" s="166" t="s">
        <v>141</v>
      </c>
      <c r="J23" s="162" t="s">
        <v>108</v>
      </c>
      <c r="K23" s="171" t="s">
        <v>109</v>
      </c>
      <c r="L23" s="166" t="s">
        <v>141</v>
      </c>
    </row>
    <row r="24" spans="1:24">
      <c r="A24" s="30"/>
      <c r="B24" s="172" t="s">
        <v>167</v>
      </c>
      <c r="C24" s="173" t="s">
        <v>157</v>
      </c>
      <c r="D24" s="298">
        <v>79828</v>
      </c>
      <c r="E24" s="339">
        <v>74004</v>
      </c>
      <c r="F24" s="339">
        <v>73125</v>
      </c>
      <c r="G24" s="298">
        <v>42263</v>
      </c>
      <c r="H24" s="339">
        <v>72092</v>
      </c>
      <c r="I24" s="339">
        <v>77153</v>
      </c>
      <c r="J24" s="298">
        <f>G24+D24</f>
        <v>122091</v>
      </c>
      <c r="K24" s="182">
        <v>146096</v>
      </c>
      <c r="L24" s="182">
        <v>150278</v>
      </c>
    </row>
    <row r="25" spans="1:24">
      <c r="A25" s="30"/>
      <c r="B25" s="173" t="s">
        <v>168</v>
      </c>
      <c r="C25" s="173" t="s">
        <v>119</v>
      </c>
      <c r="D25" s="298">
        <v>248108</v>
      </c>
      <c r="E25" s="339">
        <v>160765</v>
      </c>
      <c r="F25" s="339">
        <v>127943</v>
      </c>
      <c r="G25" s="298">
        <v>53556</v>
      </c>
      <c r="H25" s="339">
        <v>132268</v>
      </c>
      <c r="I25" s="339">
        <v>113053</v>
      </c>
      <c r="J25" s="298">
        <f t="shared" ref="J25" si="1">G25+D25</f>
        <v>301664</v>
      </c>
      <c r="K25" s="182">
        <v>293033</v>
      </c>
      <c r="L25" s="182">
        <v>240996</v>
      </c>
    </row>
    <row r="26" spans="1:24">
      <c r="A26" s="30"/>
      <c r="B26" s="78" t="s">
        <v>169</v>
      </c>
      <c r="C26" s="173" t="s">
        <v>170</v>
      </c>
      <c r="D26" s="341">
        <f>D24/D25</f>
        <v>0.32174698115336869</v>
      </c>
      <c r="E26" s="340">
        <v>0.46</v>
      </c>
      <c r="F26" s="340">
        <v>0.56999999999999995</v>
      </c>
      <c r="G26" s="341">
        <f>G24/G25</f>
        <v>0.78913660467547986</v>
      </c>
      <c r="H26" s="340">
        <v>0.46</v>
      </c>
      <c r="I26" s="340">
        <v>0.56999999999999995</v>
      </c>
      <c r="J26" s="341">
        <f>J24/J25</f>
        <v>0.40472512464198579</v>
      </c>
      <c r="K26" s="188">
        <v>0.5</v>
      </c>
      <c r="L26" s="188">
        <v>0.62</v>
      </c>
    </row>
    <row r="27" spans="1:24">
      <c r="A27" s="11"/>
      <c r="B27" s="97"/>
      <c r="C27" s="97"/>
      <c r="D27" s="111"/>
      <c r="E27" s="111"/>
      <c r="F27" s="111"/>
      <c r="G27" s="111"/>
      <c r="H27" s="111"/>
      <c r="I27" s="111"/>
    </row>
    <row r="28" spans="1:24" ht="38">
      <c r="A28" s="11"/>
      <c r="B28" s="98" t="s">
        <v>603</v>
      </c>
      <c r="C28" s="97"/>
      <c r="D28" s="111"/>
      <c r="E28" s="111"/>
      <c r="F28" s="111"/>
      <c r="G28" s="111"/>
      <c r="H28" s="111"/>
      <c r="I28" s="111"/>
    </row>
    <row r="29" spans="1:24">
      <c r="A29" s="11"/>
      <c r="B29" s="97"/>
      <c r="C29" s="97"/>
      <c r="D29" s="111"/>
      <c r="E29" s="111"/>
      <c r="F29" s="111"/>
      <c r="G29" s="111"/>
      <c r="H29" s="111"/>
      <c r="I29" s="111"/>
    </row>
    <row r="30" spans="1:24">
      <c r="A30" s="11"/>
      <c r="B30" s="75" t="s">
        <v>171</v>
      </c>
      <c r="C30" s="75"/>
      <c r="D30" s="399" t="s">
        <v>123</v>
      </c>
      <c r="E30" s="402"/>
      <c r="F30" s="400"/>
      <c r="G30" s="399" t="s">
        <v>124</v>
      </c>
      <c r="H30" s="402"/>
      <c r="I30" s="400"/>
      <c r="J30" s="399" t="s">
        <v>125</v>
      </c>
      <c r="K30" s="402"/>
      <c r="L30" s="400"/>
      <c r="M30" s="399" t="s">
        <v>126</v>
      </c>
      <c r="N30" s="402"/>
      <c r="O30" s="400"/>
      <c r="P30" s="399" t="s">
        <v>127</v>
      </c>
      <c r="Q30" s="402"/>
      <c r="R30" s="400"/>
      <c r="S30" s="399" t="s">
        <v>128</v>
      </c>
      <c r="T30" s="402"/>
      <c r="U30" s="400"/>
      <c r="V30" s="399" t="s">
        <v>152</v>
      </c>
      <c r="W30" s="402"/>
      <c r="X30" s="400"/>
    </row>
    <row r="31" spans="1:24">
      <c r="A31" s="11"/>
      <c r="B31" s="155" t="s">
        <v>172</v>
      </c>
      <c r="C31" s="155" t="s">
        <v>107</v>
      </c>
      <c r="D31" s="162" t="s">
        <v>108</v>
      </c>
      <c r="E31" s="171" t="s">
        <v>109</v>
      </c>
      <c r="F31" s="166" t="s">
        <v>141</v>
      </c>
      <c r="G31" s="162" t="s">
        <v>108</v>
      </c>
      <c r="H31" s="171" t="s">
        <v>109</v>
      </c>
      <c r="I31" s="166" t="s">
        <v>141</v>
      </c>
      <c r="J31" s="162" t="s">
        <v>108</v>
      </c>
      <c r="K31" s="171" t="s">
        <v>109</v>
      </c>
      <c r="L31" s="166" t="s">
        <v>141</v>
      </c>
      <c r="M31" s="162" t="s">
        <v>108</v>
      </c>
      <c r="N31" s="171" t="s">
        <v>109</v>
      </c>
      <c r="O31" s="166" t="s">
        <v>141</v>
      </c>
      <c r="P31" s="162" t="s">
        <v>108</v>
      </c>
      <c r="Q31" s="171" t="s">
        <v>109</v>
      </c>
      <c r="R31" s="166" t="s">
        <v>141</v>
      </c>
      <c r="S31" s="162" t="s">
        <v>108</v>
      </c>
      <c r="T31" s="171" t="s">
        <v>109</v>
      </c>
      <c r="U31" s="166" t="s">
        <v>141</v>
      </c>
      <c r="V31" s="162" t="s">
        <v>108</v>
      </c>
      <c r="W31" s="171" t="s">
        <v>109</v>
      </c>
      <c r="X31" s="166" t="s">
        <v>141</v>
      </c>
    </row>
    <row r="32" spans="1:24">
      <c r="A32" s="11"/>
      <c r="B32" s="172" t="s">
        <v>173</v>
      </c>
      <c r="C32" s="173" t="s">
        <v>174</v>
      </c>
      <c r="D32" s="323">
        <v>32.357999999999997</v>
      </c>
      <c r="E32" s="189">
        <v>75.2</v>
      </c>
      <c r="F32" s="189">
        <v>74.7</v>
      </c>
      <c r="G32" s="323">
        <f>237849/1000</f>
        <v>237.84899999999999</v>
      </c>
      <c r="H32" s="189">
        <v>357.9</v>
      </c>
      <c r="I32" s="189">
        <v>277.39999999999998</v>
      </c>
      <c r="J32" s="323">
        <f>1436/1000</f>
        <v>1.4359999999999999</v>
      </c>
      <c r="K32" s="189">
        <v>21.5</v>
      </c>
      <c r="L32" s="189">
        <v>39.299999999999997</v>
      </c>
      <c r="M32" s="323">
        <f>50798/1000</f>
        <v>50.798000000000002</v>
      </c>
      <c r="N32" s="189">
        <v>41.5</v>
      </c>
      <c r="O32" s="189">
        <v>34.799999999999997</v>
      </c>
      <c r="P32" s="323">
        <f>1278/1000</f>
        <v>1.278</v>
      </c>
      <c r="Q32" s="189">
        <v>1.5</v>
      </c>
      <c r="R32" s="189">
        <v>75.5</v>
      </c>
      <c r="S32" s="323">
        <f>1087/1000</f>
        <v>1.087</v>
      </c>
      <c r="T32" s="189">
        <v>19.600000000000001</v>
      </c>
      <c r="U32" s="189">
        <v>0</v>
      </c>
      <c r="V32" s="323">
        <f>17029/1000</f>
        <v>17.029</v>
      </c>
      <c r="W32" s="189">
        <v>0</v>
      </c>
      <c r="X32" s="189">
        <v>0</v>
      </c>
    </row>
    <row r="33" spans="1:24">
      <c r="A33" s="11"/>
      <c r="B33" s="172" t="s">
        <v>175</v>
      </c>
      <c r="C33" s="173" t="s">
        <v>174</v>
      </c>
      <c r="D33" s="323">
        <v>76.067999999999998</v>
      </c>
      <c r="E33" s="189">
        <v>164.8</v>
      </c>
      <c r="F33" s="189">
        <v>171</v>
      </c>
      <c r="G33" s="323">
        <f>431547/1000</f>
        <v>431.54700000000003</v>
      </c>
      <c r="H33" s="189">
        <v>548.79999999999995</v>
      </c>
      <c r="I33" s="189">
        <v>428.1</v>
      </c>
      <c r="J33" s="323">
        <f>4914/1000</f>
        <v>4.9139999999999997</v>
      </c>
      <c r="K33" s="189">
        <v>50.9</v>
      </c>
      <c r="L33" s="189">
        <v>69.5</v>
      </c>
      <c r="M33" s="323">
        <f>183996/1000</f>
        <v>183.99600000000001</v>
      </c>
      <c r="N33" s="189">
        <v>146.69999999999999</v>
      </c>
      <c r="O33" s="189">
        <v>116.5</v>
      </c>
      <c r="P33" s="323">
        <f>4375/1000</f>
        <v>4.375</v>
      </c>
      <c r="Q33" s="189">
        <v>4.5999999999999996</v>
      </c>
      <c r="R33" s="189">
        <v>131</v>
      </c>
      <c r="S33" s="323">
        <f>3847/1000</f>
        <v>3.847</v>
      </c>
      <c r="T33" s="189">
        <v>36.799999999999997</v>
      </c>
      <c r="U33" s="189">
        <v>0</v>
      </c>
      <c r="V33" s="323">
        <f>52133/1000</f>
        <v>52.133000000000003</v>
      </c>
      <c r="W33" s="189">
        <v>0</v>
      </c>
      <c r="X33" s="189">
        <v>0</v>
      </c>
    </row>
    <row r="34" spans="1:24">
      <c r="A34" s="11"/>
      <c r="B34" s="172" t="s">
        <v>176</v>
      </c>
      <c r="C34" s="173" t="s">
        <v>174</v>
      </c>
      <c r="D34" s="323">
        <f>58.7/1000</f>
        <v>5.8700000000000002E-2</v>
      </c>
      <c r="E34" s="189">
        <v>0.1</v>
      </c>
      <c r="F34" s="189">
        <v>0.1</v>
      </c>
      <c r="G34" s="323">
        <f>259/1000</f>
        <v>0.25900000000000001</v>
      </c>
      <c r="H34" s="189">
        <v>0.3</v>
      </c>
      <c r="I34" s="189">
        <v>0.3</v>
      </c>
      <c r="J34" s="390">
        <v>0</v>
      </c>
      <c r="K34" s="189">
        <v>0</v>
      </c>
      <c r="L34" s="189">
        <v>0</v>
      </c>
      <c r="M34" s="323">
        <f>55/1000</f>
        <v>5.5E-2</v>
      </c>
      <c r="N34" s="189">
        <v>0</v>
      </c>
      <c r="O34" s="189">
        <v>0</v>
      </c>
      <c r="P34" s="390">
        <v>0</v>
      </c>
      <c r="Q34" s="189">
        <v>0</v>
      </c>
      <c r="R34" s="189">
        <v>0.1</v>
      </c>
      <c r="S34" s="390">
        <v>0</v>
      </c>
      <c r="T34" s="189">
        <v>0</v>
      </c>
      <c r="U34" s="189">
        <v>0</v>
      </c>
      <c r="V34" s="323">
        <f>105/1000</f>
        <v>0.105</v>
      </c>
      <c r="W34" s="189">
        <v>0</v>
      </c>
      <c r="X34" s="189">
        <v>0</v>
      </c>
    </row>
    <row r="35" spans="1:24">
      <c r="A35" s="11"/>
      <c r="B35" s="172" t="s">
        <v>177</v>
      </c>
      <c r="C35" s="173" t="s">
        <v>174</v>
      </c>
      <c r="D35" s="323">
        <f>980121/1000</f>
        <v>980.12099999999998</v>
      </c>
      <c r="E35" s="189">
        <v>1188.3</v>
      </c>
      <c r="F35" s="189">
        <v>1057.5</v>
      </c>
      <c r="G35" s="323">
        <f>1425057/1000</f>
        <v>1425.057</v>
      </c>
      <c r="H35" s="189">
        <v>2175.5</v>
      </c>
      <c r="I35" s="189">
        <v>1565.2</v>
      </c>
      <c r="J35" s="323">
        <f>175562/1000</f>
        <v>175.56200000000001</v>
      </c>
      <c r="K35" s="189">
        <v>360.7</v>
      </c>
      <c r="L35" s="189">
        <v>457.1</v>
      </c>
      <c r="M35" s="323">
        <f>197203/1000</f>
        <v>197.203</v>
      </c>
      <c r="N35" s="189">
        <v>205.5</v>
      </c>
      <c r="O35" s="189">
        <v>590.70000000000005</v>
      </c>
      <c r="P35" s="323">
        <f>106894/1000</f>
        <v>106.89400000000001</v>
      </c>
      <c r="Q35" s="189">
        <v>106.9</v>
      </c>
      <c r="R35" s="189">
        <v>296.89999999999998</v>
      </c>
      <c r="S35" s="323">
        <f>301/1000</f>
        <v>0.30099999999999999</v>
      </c>
      <c r="T35" s="189">
        <v>122.9</v>
      </c>
      <c r="U35" s="189">
        <v>0</v>
      </c>
      <c r="V35" s="323">
        <f>753403/1000</f>
        <v>753.40300000000002</v>
      </c>
      <c r="W35" s="189">
        <v>0</v>
      </c>
      <c r="X35" s="189">
        <v>0</v>
      </c>
    </row>
    <row r="36" spans="1:24">
      <c r="A36" s="11"/>
      <c r="B36" s="172" t="s">
        <v>178</v>
      </c>
      <c r="C36" s="173" t="s">
        <v>174</v>
      </c>
      <c r="D36" s="390">
        <v>0</v>
      </c>
      <c r="E36" s="189">
        <v>0</v>
      </c>
      <c r="F36" s="189">
        <v>0</v>
      </c>
      <c r="G36" s="390">
        <v>0</v>
      </c>
      <c r="H36" s="189">
        <v>0</v>
      </c>
      <c r="I36" s="189">
        <v>0</v>
      </c>
      <c r="J36" s="390">
        <v>0</v>
      </c>
      <c r="K36" s="189">
        <v>0</v>
      </c>
      <c r="L36" s="189">
        <v>0</v>
      </c>
      <c r="M36" s="390">
        <v>0</v>
      </c>
      <c r="N36" s="189">
        <v>0</v>
      </c>
      <c r="O36" s="189">
        <v>0</v>
      </c>
      <c r="P36" s="390">
        <v>0</v>
      </c>
      <c r="Q36" s="189">
        <v>0</v>
      </c>
      <c r="R36" s="189">
        <v>0</v>
      </c>
      <c r="S36" s="390">
        <v>0</v>
      </c>
      <c r="T36" s="189">
        <v>0</v>
      </c>
      <c r="U36" s="189">
        <f t="shared" ref="U36" si="2">U34+U35</f>
        <v>0</v>
      </c>
      <c r="V36" s="390">
        <v>0</v>
      </c>
      <c r="W36" s="189">
        <f t="shared" ref="W36:X37" si="3">W34+W35</f>
        <v>0</v>
      </c>
      <c r="X36" s="189">
        <f t="shared" si="3"/>
        <v>0</v>
      </c>
    </row>
    <row r="37" spans="1:24">
      <c r="A37" s="11"/>
      <c r="B37" s="172" t="s">
        <v>179</v>
      </c>
      <c r="C37" s="173" t="s">
        <v>174</v>
      </c>
      <c r="D37" s="323">
        <f>126/1000</f>
        <v>0.126</v>
      </c>
      <c r="E37" s="189">
        <v>0.2</v>
      </c>
      <c r="F37" s="189">
        <v>0.1</v>
      </c>
      <c r="G37" s="323">
        <f>58.5/1000</f>
        <v>5.8500000000000003E-2</v>
      </c>
      <c r="H37" s="189">
        <v>0.1</v>
      </c>
      <c r="I37" s="189">
        <v>0</v>
      </c>
      <c r="J37" s="390">
        <v>0</v>
      </c>
      <c r="K37" s="189">
        <v>0</v>
      </c>
      <c r="L37" s="189">
        <v>0</v>
      </c>
      <c r="M37" s="323">
        <f>342/1000</f>
        <v>0.34200000000000003</v>
      </c>
      <c r="N37" s="189">
        <v>0.3</v>
      </c>
      <c r="O37" s="189">
        <v>0</v>
      </c>
      <c r="P37" s="390">
        <v>0</v>
      </c>
      <c r="Q37" s="189">
        <v>0</v>
      </c>
      <c r="R37" s="189">
        <v>0</v>
      </c>
      <c r="S37" s="390">
        <v>0</v>
      </c>
      <c r="T37" s="189">
        <v>0</v>
      </c>
      <c r="U37" s="189">
        <f t="shared" ref="U37" si="4">U35+U36</f>
        <v>0</v>
      </c>
      <c r="V37" s="390">
        <v>0</v>
      </c>
      <c r="W37" s="189">
        <f t="shared" si="3"/>
        <v>0</v>
      </c>
      <c r="X37" s="189">
        <f t="shared" si="3"/>
        <v>0</v>
      </c>
    </row>
    <row r="38" spans="1:24">
      <c r="A38" s="11"/>
      <c r="B38" s="324" t="s">
        <v>180</v>
      </c>
      <c r="C38" s="173" t="s">
        <v>174</v>
      </c>
      <c r="D38" s="323">
        <f>4887/1000</f>
        <v>4.8869999999999996</v>
      </c>
      <c r="E38" s="189">
        <v>10.3</v>
      </c>
      <c r="F38" s="189">
        <v>10.6</v>
      </c>
      <c r="G38" s="323">
        <f>39118/1000</f>
        <v>39.118000000000002</v>
      </c>
      <c r="H38" s="189">
        <v>49.5</v>
      </c>
      <c r="I38" s="189">
        <v>48.9</v>
      </c>
      <c r="J38" s="323">
        <f>539/1000</f>
        <v>0.53900000000000003</v>
      </c>
      <c r="K38" s="189">
        <v>3.3</v>
      </c>
      <c r="L38" s="189">
        <v>4.4000000000000004</v>
      </c>
      <c r="M38" s="323">
        <f>13730/1000</f>
        <v>13.73</v>
      </c>
      <c r="N38" s="189">
        <v>10.8</v>
      </c>
      <c r="O38" s="189">
        <v>8.8000000000000007</v>
      </c>
      <c r="P38" s="323">
        <f>495/1000</f>
        <v>0.495</v>
      </c>
      <c r="Q38" s="189">
        <v>0.5</v>
      </c>
      <c r="R38" s="189">
        <v>8.6999999999999993</v>
      </c>
      <c r="S38" s="323">
        <f>407/1000</f>
        <v>0.40699999999999997</v>
      </c>
      <c r="T38" s="189">
        <v>2.2000000000000002</v>
      </c>
      <c r="U38" s="189">
        <f>U36+U37</f>
        <v>0</v>
      </c>
      <c r="V38" s="323">
        <f>4054/1000</f>
        <v>4.0540000000000003</v>
      </c>
      <c r="W38" s="189">
        <f>W36+W37</f>
        <v>0</v>
      </c>
      <c r="X38" s="189">
        <f>X36+X37</f>
        <v>0</v>
      </c>
    </row>
    <row r="39" spans="1:24" customFormat="1">
      <c r="D39" s="322"/>
    </row>
    <row r="40" spans="1:24" customFormat="1">
      <c r="B40" s="202" t="s">
        <v>181</v>
      </c>
    </row>
    <row r="41" spans="1:24" customFormat="1">
      <c r="B41" s="202"/>
    </row>
    <row r="42" spans="1:24" customFormat="1">
      <c r="D42" s="403" t="s">
        <v>159</v>
      </c>
      <c r="E42" s="404"/>
      <c r="F42" s="404"/>
      <c r="G42" s="404"/>
    </row>
    <row r="43" spans="1:24" customFormat="1">
      <c r="B43" s="155" t="s">
        <v>182</v>
      </c>
      <c r="C43" s="155" t="s">
        <v>107</v>
      </c>
      <c r="D43" s="162" t="s">
        <v>108</v>
      </c>
      <c r="E43" s="171" t="s">
        <v>109</v>
      </c>
      <c r="F43" s="171" t="s">
        <v>141</v>
      </c>
      <c r="G43" s="171" t="s">
        <v>160</v>
      </c>
    </row>
    <row r="44" spans="1:24" customFormat="1">
      <c r="B44" s="172" t="s">
        <v>173</v>
      </c>
      <c r="C44" s="173" t="s">
        <v>174</v>
      </c>
      <c r="D44" s="325">
        <f>D32+G32+J32+M32+P32+S32+V32</f>
        <v>341.83499999999998</v>
      </c>
      <c r="E44" s="194">
        <v>517.29999999999995</v>
      </c>
      <c r="F44" s="194">
        <v>519.70000000000005</v>
      </c>
      <c r="G44" s="194">
        <v>628.20000000000005</v>
      </c>
    </row>
    <row r="45" spans="1:24" customFormat="1">
      <c r="B45" s="172" t="s">
        <v>175</v>
      </c>
      <c r="C45" s="173" t="s">
        <v>174</v>
      </c>
      <c r="D45" s="325">
        <f t="shared" ref="D45:D50" si="5">D33+G33+J33+M33+P33+S33+V33</f>
        <v>756.88</v>
      </c>
      <c r="E45" s="194">
        <v>952.5</v>
      </c>
      <c r="F45" s="82">
        <v>952.6</v>
      </c>
      <c r="G45" s="82">
        <v>1107.2</v>
      </c>
    </row>
    <row r="46" spans="1:24" customFormat="1">
      <c r="B46" s="172" t="s">
        <v>176</v>
      </c>
      <c r="C46" s="173" t="s">
        <v>174</v>
      </c>
      <c r="D46" s="325">
        <f t="shared" si="5"/>
        <v>0.47769999999999996</v>
      </c>
      <c r="E46" s="194">
        <v>0.5</v>
      </c>
      <c r="F46" s="82">
        <v>0.6</v>
      </c>
      <c r="G46" s="82">
        <v>0.6</v>
      </c>
    </row>
    <row r="47" spans="1:24" customFormat="1">
      <c r="B47" s="172" t="s">
        <v>177</v>
      </c>
      <c r="C47" s="173" t="s">
        <v>174</v>
      </c>
      <c r="D47" s="325">
        <f t="shared" si="5"/>
        <v>3638.5409999999993</v>
      </c>
      <c r="E47" s="194">
        <v>4159.7</v>
      </c>
      <c r="F47" s="82">
        <v>4040.4</v>
      </c>
      <c r="G47" s="82">
        <v>4168.8999999999996</v>
      </c>
    </row>
    <row r="48" spans="1:24" customFormat="1">
      <c r="B48" s="172" t="s">
        <v>178</v>
      </c>
      <c r="C48" s="173" t="s">
        <v>174</v>
      </c>
      <c r="D48" s="325">
        <f t="shared" si="5"/>
        <v>0</v>
      </c>
      <c r="E48" s="194">
        <v>0</v>
      </c>
      <c r="F48" s="82">
        <v>0</v>
      </c>
      <c r="G48" s="82">
        <v>0</v>
      </c>
    </row>
    <row r="49" spans="1:7" customFormat="1">
      <c r="B49" s="172" t="s">
        <v>179</v>
      </c>
      <c r="C49" s="173" t="s">
        <v>174</v>
      </c>
      <c r="D49" s="325">
        <f t="shared" si="5"/>
        <v>0.52649999999999997</v>
      </c>
      <c r="E49" s="194">
        <v>0.6</v>
      </c>
      <c r="F49" s="194">
        <v>0.1</v>
      </c>
      <c r="G49" s="194">
        <v>0.2</v>
      </c>
    </row>
    <row r="50" spans="1:7" customFormat="1" ht="15" thickBot="1">
      <c r="B50" s="252" t="s">
        <v>180</v>
      </c>
      <c r="C50" s="252" t="s">
        <v>174</v>
      </c>
      <c r="D50" s="326">
        <f t="shared" si="5"/>
        <v>63.23</v>
      </c>
      <c r="E50" s="108">
        <v>76.5</v>
      </c>
      <c r="F50" s="108">
        <v>83.5</v>
      </c>
      <c r="G50" s="108">
        <v>82.3</v>
      </c>
    </row>
    <row r="51" spans="1:7" customFormat="1"/>
    <row r="52" spans="1:7" customFormat="1">
      <c r="B52" s="155" t="s">
        <v>155</v>
      </c>
      <c r="C52" s="155" t="s">
        <v>107</v>
      </c>
      <c r="D52" s="162" t="s">
        <v>108</v>
      </c>
    </row>
    <row r="53" spans="1:7" customFormat="1">
      <c r="B53" s="172" t="s">
        <v>156</v>
      </c>
      <c r="C53" s="173" t="s">
        <v>157</v>
      </c>
      <c r="D53" s="263">
        <v>103087</v>
      </c>
    </row>
    <row r="54" spans="1:7" customFormat="1">
      <c r="B54" s="172" t="s">
        <v>183</v>
      </c>
      <c r="C54" s="173" t="s">
        <v>157</v>
      </c>
      <c r="D54" s="263">
        <v>75606</v>
      </c>
    </row>
    <row r="55" spans="1:7" customFormat="1">
      <c r="B55" s="172" t="s">
        <v>184</v>
      </c>
      <c r="C55" s="173" t="s">
        <v>185</v>
      </c>
      <c r="D55" s="328">
        <f>D54/D53</f>
        <v>0.73341934482524473</v>
      </c>
    </row>
    <row r="56" spans="1:7" customFormat="1">
      <c r="B56" s="172" t="s">
        <v>186</v>
      </c>
      <c r="C56" s="173" t="s">
        <v>157</v>
      </c>
      <c r="D56" s="263">
        <v>12508</v>
      </c>
    </row>
    <row r="57" spans="1:7" customFormat="1">
      <c r="B57" s="172" t="s">
        <v>187</v>
      </c>
      <c r="C57" s="173" t="s">
        <v>185</v>
      </c>
      <c r="D57" s="328">
        <f>D56/$D$54</f>
        <v>0.16543660556040526</v>
      </c>
    </row>
    <row r="58" spans="1:7" customFormat="1">
      <c r="B58" s="172" t="s">
        <v>188</v>
      </c>
      <c r="C58" s="173" t="s">
        <v>157</v>
      </c>
      <c r="D58" s="263">
        <v>39910</v>
      </c>
    </row>
    <row r="59" spans="1:7" customFormat="1">
      <c r="B59" s="172" t="s">
        <v>189</v>
      </c>
      <c r="C59" s="173" t="s">
        <v>185</v>
      </c>
      <c r="D59" s="328">
        <f>D58/$D$54</f>
        <v>0.5278681586117504</v>
      </c>
    </row>
    <row r="60" spans="1:7" customFormat="1">
      <c r="B60" s="172" t="s">
        <v>190</v>
      </c>
      <c r="C60" s="173" t="s">
        <v>157</v>
      </c>
      <c r="D60" s="263">
        <v>23188</v>
      </c>
    </row>
    <row r="61" spans="1:7" customFormat="1">
      <c r="B61" s="172" t="s">
        <v>191</v>
      </c>
      <c r="C61" s="173" t="s">
        <v>185</v>
      </c>
      <c r="D61" s="328">
        <f>D60/$D$54</f>
        <v>0.30669523582784436</v>
      </c>
    </row>
    <row r="62" spans="1:7" customFormat="1">
      <c r="B62" s="172"/>
      <c r="C62" s="173"/>
      <c r="D62" s="263"/>
    </row>
    <row r="63" spans="1:7" customFormat="1">
      <c r="B63" s="172" t="s">
        <v>192</v>
      </c>
      <c r="C63" s="173" t="s">
        <v>157</v>
      </c>
      <c r="D63" s="263">
        <v>26414</v>
      </c>
    </row>
    <row r="64" spans="1:7">
      <c r="A64" s="30"/>
      <c r="B64" s="172" t="s">
        <v>193</v>
      </c>
      <c r="C64" s="173"/>
      <c r="D64" s="263">
        <f>D63/D53</f>
        <v>0.25623017451279018</v>
      </c>
      <c r="E64" s="18"/>
      <c r="F64" s="18"/>
    </row>
    <row r="65" spans="1:7">
      <c r="A65" s="30"/>
      <c r="B65"/>
      <c r="C65"/>
      <c r="D65" s="315"/>
      <c r="E65" s="18"/>
      <c r="F65" s="18"/>
    </row>
    <row r="66" spans="1:7">
      <c r="A66" s="30"/>
      <c r="B66" s="155" t="s">
        <v>194</v>
      </c>
      <c r="C66" s="156" t="s">
        <v>80</v>
      </c>
      <c r="D66" s="155" t="s">
        <v>195</v>
      </c>
      <c r="E66" s="155" t="s">
        <v>196</v>
      </c>
      <c r="F66" s="155" t="s">
        <v>197</v>
      </c>
    </row>
    <row r="67" spans="1:7" ht="66" customHeight="1">
      <c r="A67" s="30"/>
      <c r="B67" s="113" t="s">
        <v>198</v>
      </c>
      <c r="C67" s="114">
        <v>127651.80257578816</v>
      </c>
      <c r="D67" s="264" t="s">
        <v>199</v>
      </c>
      <c r="E67" s="264" t="s">
        <v>597</v>
      </c>
      <c r="F67" s="264" t="s">
        <v>623</v>
      </c>
    </row>
    <row r="68" spans="1:7" ht="78.650000000000006" customHeight="1">
      <c r="A68" s="30"/>
      <c r="B68" s="115" t="s">
        <v>200</v>
      </c>
      <c r="C68" s="116">
        <v>7845.1522857243681</v>
      </c>
      <c r="D68" s="264" t="s">
        <v>199</v>
      </c>
      <c r="E68" s="265" t="s">
        <v>612</v>
      </c>
      <c r="F68" s="265" t="s">
        <v>624</v>
      </c>
    </row>
    <row r="69" spans="1:7" ht="109.75" customHeight="1">
      <c r="A69" s="30"/>
      <c r="B69" s="115" t="s">
        <v>201</v>
      </c>
      <c r="C69" s="116">
        <v>27190.170581029</v>
      </c>
      <c r="D69" s="264" t="s">
        <v>199</v>
      </c>
      <c r="E69" s="265" t="s">
        <v>626</v>
      </c>
      <c r="F69" s="265" t="s">
        <v>625</v>
      </c>
    </row>
    <row r="70" spans="1:7" ht="91.25" customHeight="1">
      <c r="A70" s="30"/>
      <c r="B70" s="115" t="s">
        <v>202</v>
      </c>
      <c r="C70" s="116">
        <v>552.10447579503739</v>
      </c>
      <c r="D70" s="264" t="s">
        <v>199</v>
      </c>
      <c r="E70" s="265" t="s">
        <v>613</v>
      </c>
      <c r="F70" s="265" t="s">
        <v>627</v>
      </c>
    </row>
    <row r="71" spans="1:7" ht="41.4" customHeight="1">
      <c r="A71" s="30"/>
      <c r="B71" s="115" t="s">
        <v>205</v>
      </c>
      <c r="C71" s="116">
        <v>240.20203336023002</v>
      </c>
      <c r="D71" s="264" t="s">
        <v>199</v>
      </c>
      <c r="E71" s="265" t="s">
        <v>598</v>
      </c>
      <c r="F71" s="265" t="s">
        <v>628</v>
      </c>
    </row>
    <row r="72" spans="1:7" ht="38">
      <c r="A72" s="30"/>
      <c r="B72" s="115" t="s">
        <v>206</v>
      </c>
      <c r="C72" s="116">
        <v>204.57371000000001</v>
      </c>
      <c r="D72" s="264" t="s">
        <v>199</v>
      </c>
      <c r="E72" s="265" t="s">
        <v>599</v>
      </c>
      <c r="F72" s="265" t="s">
        <v>630</v>
      </c>
    </row>
    <row r="73" spans="1:7" ht="70.25" customHeight="1">
      <c r="A73" s="30"/>
      <c r="B73" s="115" t="s">
        <v>207</v>
      </c>
      <c r="C73" s="116">
        <v>302.84279626666671</v>
      </c>
      <c r="D73" s="264" t="s">
        <v>199</v>
      </c>
      <c r="E73" s="265" t="s">
        <v>600</v>
      </c>
      <c r="F73" s="265" t="s">
        <v>629</v>
      </c>
    </row>
    <row r="74" spans="1:7" ht="47.5">
      <c r="A74" s="30"/>
      <c r="B74" s="115" t="s">
        <v>208</v>
      </c>
      <c r="C74" s="116">
        <v>0</v>
      </c>
      <c r="D74" s="265" t="s">
        <v>203</v>
      </c>
      <c r="E74" s="265" t="s">
        <v>204</v>
      </c>
      <c r="F74" s="265" t="s">
        <v>601</v>
      </c>
    </row>
    <row r="75" spans="1:7" ht="46.25" customHeight="1">
      <c r="A75" s="30"/>
      <c r="B75" s="115" t="s">
        <v>209</v>
      </c>
      <c r="C75" s="116">
        <v>0</v>
      </c>
      <c r="D75" s="265" t="s">
        <v>203</v>
      </c>
      <c r="E75" s="265" t="s">
        <v>204</v>
      </c>
      <c r="F75" s="265" t="s">
        <v>614</v>
      </c>
    </row>
    <row r="76" spans="1:7" ht="46.25" customHeight="1">
      <c r="A76" s="30"/>
      <c r="B76" s="115" t="s">
        <v>210</v>
      </c>
      <c r="C76" s="116">
        <v>2144.6189363375261</v>
      </c>
      <c r="D76" s="264" t="s">
        <v>199</v>
      </c>
      <c r="E76" s="265" t="s">
        <v>631</v>
      </c>
      <c r="F76" s="265" t="s">
        <v>632</v>
      </c>
    </row>
    <row r="77" spans="1:7" ht="55.25" customHeight="1">
      <c r="A77" s="30"/>
      <c r="B77" s="115" t="s">
        <v>211</v>
      </c>
      <c r="C77" s="116">
        <v>0</v>
      </c>
      <c r="D77" s="265" t="s">
        <v>203</v>
      </c>
      <c r="E77" s="265" t="s">
        <v>204</v>
      </c>
      <c r="F77" s="265" t="s">
        <v>615</v>
      </c>
    </row>
    <row r="78" spans="1:7" ht="64.25" customHeight="1">
      <c r="A78" s="30"/>
      <c r="B78" s="115" t="s">
        <v>212</v>
      </c>
      <c r="C78" s="116">
        <v>0</v>
      </c>
      <c r="D78" s="265" t="s">
        <v>203</v>
      </c>
      <c r="E78" s="265" t="s">
        <v>204</v>
      </c>
      <c r="F78" s="265" t="s">
        <v>633</v>
      </c>
    </row>
    <row r="79" spans="1:7" ht="55.75" customHeight="1">
      <c r="A79" s="30"/>
      <c r="B79" s="115" t="s">
        <v>213</v>
      </c>
      <c r="C79" s="116">
        <v>0</v>
      </c>
      <c r="D79" s="265" t="s">
        <v>203</v>
      </c>
      <c r="E79" s="265" t="s">
        <v>204</v>
      </c>
      <c r="F79" s="265" t="s">
        <v>601</v>
      </c>
    </row>
    <row r="80" spans="1:7" ht="42" customHeight="1">
      <c r="A80" s="30"/>
      <c r="B80" s="117" t="s">
        <v>214</v>
      </c>
      <c r="C80" s="116">
        <v>0</v>
      </c>
      <c r="D80" s="266" t="s">
        <v>203</v>
      </c>
      <c r="E80" s="266" t="s">
        <v>204</v>
      </c>
      <c r="F80" s="266" t="s">
        <v>602</v>
      </c>
      <c r="G80"/>
    </row>
    <row r="81" spans="1:10" ht="54" customHeight="1" thickBot="1">
      <c r="A81" s="30"/>
      <c r="B81" s="118" t="s">
        <v>215</v>
      </c>
      <c r="C81" s="116">
        <v>0</v>
      </c>
      <c r="D81" s="267" t="s">
        <v>203</v>
      </c>
      <c r="E81" s="267" t="s">
        <v>204</v>
      </c>
      <c r="F81" s="267" t="s">
        <v>621</v>
      </c>
    </row>
    <row r="82" spans="1:10" ht="98" customHeight="1">
      <c r="A82" s="30"/>
      <c r="B82" s="401" t="s">
        <v>620</v>
      </c>
      <c r="C82" s="401"/>
      <c r="D82" s="401"/>
      <c r="E82" s="401"/>
      <c r="F82" s="401"/>
      <c r="G82" s="60"/>
    </row>
    <row r="87" spans="1:10">
      <c r="J87" s="39" t="s">
        <v>216</v>
      </c>
    </row>
    <row r="88" spans="1:10">
      <c r="J88" s="39" t="s">
        <v>216</v>
      </c>
    </row>
    <row r="89" spans="1:10">
      <c r="J89" s="39" t="s">
        <v>216</v>
      </c>
    </row>
    <row r="90" spans="1:10">
      <c r="J90" s="39" t="s">
        <v>216</v>
      </c>
    </row>
    <row r="91" spans="1:10">
      <c r="J91" s="39" t="s">
        <v>216</v>
      </c>
    </row>
    <row r="92" spans="1:10" ht="12" customHeight="1"/>
    <row r="93" spans="1:10" ht="17.899999999999999" customHeight="1"/>
  </sheetData>
  <sheetProtection algorithmName="SHA-512" hashValue="Plz3F8f/7utqD5kGAuXcvDBVUpb9CZsCkZjxQ3VRQIyRSQvf3H/RDjN6QgtfkQRjOspsfxZaNJ+ub9hRm3F3gw==" saltValue="hiVj9rJethBS1aK1djGf2g==" spinCount="100000" sheet="1" objects="1" scenarios="1"/>
  <mergeCells count="22">
    <mergeCell ref="M30:O30"/>
    <mergeCell ref="P30:R30"/>
    <mergeCell ref="S30:U30"/>
    <mergeCell ref="D13:H13"/>
    <mergeCell ref="AB7:AD7"/>
    <mergeCell ref="G22:I22"/>
    <mergeCell ref="J22:L22"/>
    <mergeCell ref="M7:O7"/>
    <mergeCell ref="P7:R7"/>
    <mergeCell ref="S7:U7"/>
    <mergeCell ref="V7:X7"/>
    <mergeCell ref="Y7:AA7"/>
    <mergeCell ref="V30:X30"/>
    <mergeCell ref="B82:F82"/>
    <mergeCell ref="D7:F7"/>
    <mergeCell ref="G7:I7"/>
    <mergeCell ref="J7:L7"/>
    <mergeCell ref="D30:F30"/>
    <mergeCell ref="G30:I30"/>
    <mergeCell ref="J30:L30"/>
    <mergeCell ref="D42:G42"/>
    <mergeCell ref="D22:F22"/>
  </mergeCells>
  <pageMargins left="0.7" right="0.7" top="0.75" bottom="0.75" header="0.3" footer="0.3"/>
  <pageSetup paperSize="9" scale="85" orientation="portrait" horizontalDpi="1200" verticalDpi="1200" r:id="rId1"/>
  <ignoredErrors>
    <ignoredError sqref="V3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E1AF-CA32-4EFE-B14D-C2A65C45A822}">
  <sheetPr codeName="Sheet5">
    <tabColor theme="5" tint="0.39997558519241921"/>
    <pageSetUpPr autoPageBreaks="0"/>
  </sheetPr>
  <dimension ref="B2:Q30"/>
  <sheetViews>
    <sheetView showGridLines="0" zoomScale="120" zoomScaleNormal="120" workbookViewId="0">
      <selection activeCell="B6" sqref="B6"/>
    </sheetView>
  </sheetViews>
  <sheetFormatPr defaultColWidth="8.453125" defaultRowHeight="14.5"/>
  <cols>
    <col min="1" max="1" width="3.453125" style="12" customWidth="1"/>
    <col min="2" max="2" width="26.54296875" style="12" customWidth="1"/>
    <col min="3" max="3" width="11.54296875" style="12" customWidth="1"/>
    <col min="4" max="4" width="8.453125" style="12" customWidth="1"/>
    <col min="5" max="16384" width="8.453125" style="12"/>
  </cols>
  <sheetData>
    <row r="2" spans="2:17">
      <c r="G2" s="72" t="s">
        <v>78</v>
      </c>
    </row>
    <row r="3" spans="2:17">
      <c r="B3" s="11"/>
      <c r="C3" s="11"/>
      <c r="D3" s="11"/>
      <c r="E3" s="19"/>
      <c r="F3" s="19"/>
      <c r="G3" s="19"/>
    </row>
    <row r="4" spans="2:17">
      <c r="B4" s="11"/>
      <c r="C4" s="11"/>
      <c r="D4" s="11"/>
      <c r="E4" s="19"/>
      <c r="F4" s="19"/>
      <c r="G4" s="19"/>
    </row>
    <row r="5" spans="2:17">
      <c r="B5" s="11"/>
      <c r="C5" s="11"/>
      <c r="D5" s="11"/>
      <c r="E5" s="19"/>
      <c r="F5" s="19"/>
      <c r="G5" s="19"/>
    </row>
    <row r="6" spans="2:17">
      <c r="B6" s="75" t="s">
        <v>217</v>
      </c>
      <c r="C6" s="33"/>
      <c r="D6" s="33"/>
      <c r="E6" s="20"/>
      <c r="F6" s="21"/>
      <c r="G6" s="22"/>
    </row>
    <row r="7" spans="2:17">
      <c r="D7" s="399" t="s">
        <v>123</v>
      </c>
      <c r="E7" s="400"/>
      <c r="F7" s="399" t="s">
        <v>124</v>
      </c>
      <c r="G7" s="400"/>
      <c r="H7" s="399" t="s">
        <v>125</v>
      </c>
      <c r="I7" s="400"/>
      <c r="J7" s="399" t="s">
        <v>218</v>
      </c>
      <c r="K7" s="400"/>
      <c r="L7" s="399" t="s">
        <v>219</v>
      </c>
      <c r="M7" s="400"/>
      <c r="N7" s="399" t="s">
        <v>154</v>
      </c>
      <c r="O7" s="400"/>
      <c r="P7" s="399" t="s">
        <v>121</v>
      </c>
      <c r="Q7" s="400"/>
    </row>
    <row r="8" spans="2:17">
      <c r="B8" s="155" t="s">
        <v>26</v>
      </c>
      <c r="C8" s="155" t="s">
        <v>107</v>
      </c>
      <c r="D8" s="162" t="s">
        <v>108</v>
      </c>
      <c r="E8" s="163" t="s">
        <v>109</v>
      </c>
      <c r="F8" s="162" t="s">
        <v>108</v>
      </c>
      <c r="G8" s="163" t="s">
        <v>109</v>
      </c>
      <c r="H8" s="162" t="s">
        <v>108</v>
      </c>
      <c r="I8" s="163" t="s">
        <v>109</v>
      </c>
      <c r="J8" s="162" t="s">
        <v>108</v>
      </c>
      <c r="K8" s="163" t="s">
        <v>109</v>
      </c>
      <c r="L8" s="162" t="s">
        <v>108</v>
      </c>
      <c r="M8" s="163" t="s">
        <v>109</v>
      </c>
      <c r="N8" s="162" t="s">
        <v>108</v>
      </c>
      <c r="O8" s="163" t="s">
        <v>109</v>
      </c>
      <c r="P8" s="162" t="s">
        <v>108</v>
      </c>
      <c r="Q8" s="163" t="s">
        <v>109</v>
      </c>
    </row>
    <row r="9" spans="2:17" ht="30" customHeight="1">
      <c r="B9" s="105" t="s">
        <v>220</v>
      </c>
      <c r="C9" s="210" t="s">
        <v>221</v>
      </c>
      <c r="D9" s="317">
        <v>55</v>
      </c>
      <c r="E9" s="160">
        <v>90</v>
      </c>
      <c r="F9" s="317">
        <v>70</v>
      </c>
      <c r="G9" s="160">
        <v>100</v>
      </c>
      <c r="H9" s="317">
        <v>0</v>
      </c>
      <c r="I9" s="160">
        <v>45</v>
      </c>
      <c r="J9" s="317">
        <v>70</v>
      </c>
      <c r="K9" s="161">
        <v>80</v>
      </c>
      <c r="L9" s="317">
        <v>50</v>
      </c>
      <c r="M9" s="160">
        <v>80</v>
      </c>
      <c r="N9" s="317">
        <v>70</v>
      </c>
      <c r="O9" s="160">
        <v>0</v>
      </c>
      <c r="P9" s="317">
        <v>70</v>
      </c>
      <c r="Q9" s="160">
        <v>80</v>
      </c>
    </row>
    <row r="10" spans="2:17" ht="31.4" customHeight="1">
      <c r="B10" s="105" t="s">
        <v>222</v>
      </c>
      <c r="C10" s="210" t="s">
        <v>221</v>
      </c>
      <c r="D10" s="317">
        <v>30</v>
      </c>
      <c r="E10" s="160">
        <v>37</v>
      </c>
      <c r="F10" s="317">
        <v>40</v>
      </c>
      <c r="G10" s="160">
        <v>37</v>
      </c>
      <c r="H10" s="317">
        <v>0</v>
      </c>
      <c r="I10" s="160">
        <v>22</v>
      </c>
      <c r="J10" s="317">
        <v>40</v>
      </c>
      <c r="K10" s="161">
        <v>47</v>
      </c>
      <c r="L10" s="317">
        <v>30</v>
      </c>
      <c r="M10" s="160">
        <v>31</v>
      </c>
      <c r="N10" s="317">
        <v>40</v>
      </c>
      <c r="O10" s="160">
        <v>0</v>
      </c>
      <c r="P10" s="317">
        <v>40</v>
      </c>
      <c r="Q10" s="160">
        <v>35</v>
      </c>
    </row>
    <row r="11" spans="2:17">
      <c r="B11" s="33"/>
      <c r="C11" s="33"/>
      <c r="D11" s="20"/>
      <c r="E11" s="20"/>
      <c r="F11" s="21"/>
      <c r="G11" s="22"/>
    </row>
    <row r="12" spans="2:17">
      <c r="B12" s="155" t="s">
        <v>223</v>
      </c>
      <c r="C12" s="155" t="s">
        <v>107</v>
      </c>
      <c r="D12" s="158" t="s">
        <v>123</v>
      </c>
      <c r="E12" s="158" t="s">
        <v>124</v>
      </c>
      <c r="F12" s="158" t="s">
        <v>125</v>
      </c>
      <c r="G12" s="158" t="s">
        <v>126</v>
      </c>
      <c r="H12" s="158" t="s">
        <v>219</v>
      </c>
      <c r="I12" s="158" t="s">
        <v>154</v>
      </c>
      <c r="J12" s="158" t="s">
        <v>113</v>
      </c>
      <c r="K12"/>
    </row>
    <row r="13" spans="2:17">
      <c r="B13" s="124" t="s">
        <v>224</v>
      </c>
      <c r="C13" s="210" t="s">
        <v>225</v>
      </c>
      <c r="D13" s="125">
        <v>0</v>
      </c>
      <c r="E13" s="125">
        <v>0</v>
      </c>
      <c r="F13" s="125">
        <v>0</v>
      </c>
      <c r="G13" s="125">
        <v>0</v>
      </c>
      <c r="H13" s="125">
        <v>0</v>
      </c>
      <c r="I13" s="125">
        <v>0</v>
      </c>
      <c r="J13" s="125">
        <v>0</v>
      </c>
    </row>
    <row r="14" spans="2:17">
      <c r="B14" s="204" t="s">
        <v>226</v>
      </c>
      <c r="C14" s="210" t="s">
        <v>225</v>
      </c>
      <c r="D14" s="126">
        <v>0</v>
      </c>
      <c r="E14" s="126">
        <v>0</v>
      </c>
      <c r="F14" s="126">
        <v>0</v>
      </c>
      <c r="G14" s="126">
        <v>0</v>
      </c>
      <c r="H14" s="126">
        <v>0</v>
      </c>
      <c r="I14" s="126">
        <v>0</v>
      </c>
      <c r="J14" s="126">
        <v>0</v>
      </c>
    </row>
    <row r="15" spans="2:17" ht="11.15" customHeight="1">
      <c r="B15" s="405"/>
      <c r="C15" s="405"/>
      <c r="D15" s="405"/>
      <c r="E15" s="405"/>
      <c r="F15" s="405"/>
      <c r="G15" s="405"/>
    </row>
    <row r="16" spans="2:17" ht="11.9" customHeight="1">
      <c r="B16" s="155" t="s">
        <v>29</v>
      </c>
      <c r="C16" s="155" t="s">
        <v>107</v>
      </c>
      <c r="D16" s="158" t="s">
        <v>123</v>
      </c>
      <c r="E16" s="158" t="s">
        <v>124</v>
      </c>
      <c r="F16" s="158" t="s">
        <v>125</v>
      </c>
      <c r="G16" s="158" t="s">
        <v>126</v>
      </c>
      <c r="H16" s="158" t="s">
        <v>219</v>
      </c>
      <c r="I16" s="158" t="s">
        <v>227</v>
      </c>
      <c r="J16" s="209" t="s">
        <v>228</v>
      </c>
      <c r="K16" s="209" t="s">
        <v>229</v>
      </c>
    </row>
    <row r="17" spans="2:11" ht="13.4" customHeight="1">
      <c r="B17" s="124" t="s">
        <v>230</v>
      </c>
      <c r="C17" s="210" t="s">
        <v>225</v>
      </c>
      <c r="D17" s="125">
        <v>15</v>
      </c>
      <c r="E17" s="125">
        <v>21</v>
      </c>
      <c r="F17" s="125">
        <v>0</v>
      </c>
      <c r="G17" s="125">
        <v>17</v>
      </c>
      <c r="H17" s="125">
        <v>0</v>
      </c>
      <c r="I17" s="125">
        <v>53</v>
      </c>
      <c r="J17" s="125">
        <v>61</v>
      </c>
      <c r="K17" s="125">
        <v>84</v>
      </c>
    </row>
    <row r="18" spans="2:11">
      <c r="B18"/>
      <c r="C18"/>
      <c r="D18"/>
      <c r="E18"/>
      <c r="F18"/>
      <c r="G18"/>
      <c r="H18" s="23"/>
    </row>
    <row r="19" spans="2:11">
      <c r="B19" s="202" t="s">
        <v>604</v>
      </c>
      <c r="C19"/>
      <c r="D19"/>
      <c r="E19"/>
      <c r="F19"/>
      <c r="G19"/>
      <c r="H19" s="23"/>
    </row>
    <row r="21" spans="2:11">
      <c r="B21" s="406" t="s">
        <v>231</v>
      </c>
      <c r="C21" s="406"/>
      <c r="D21" s="406"/>
      <c r="E21" s="406"/>
      <c r="F21" s="406"/>
      <c r="G21" s="406"/>
    </row>
    <row r="22" spans="2:11">
      <c r="B22" s="406"/>
      <c r="C22" s="406"/>
      <c r="D22" s="406"/>
      <c r="E22" s="406"/>
      <c r="F22" s="406"/>
      <c r="G22" s="406"/>
    </row>
    <row r="23" spans="2:11">
      <c r="B23" s="406"/>
      <c r="C23" s="406"/>
      <c r="D23" s="406"/>
      <c r="E23" s="406"/>
      <c r="F23" s="406"/>
      <c r="G23" s="406"/>
    </row>
    <row r="24" spans="2:11">
      <c r="B24" s="406"/>
      <c r="C24" s="406"/>
      <c r="D24" s="406"/>
      <c r="E24" s="406"/>
      <c r="F24" s="406"/>
      <c r="G24" s="406"/>
    </row>
    <row r="25" spans="2:11">
      <c r="B25" s="406"/>
      <c r="C25" s="406"/>
      <c r="D25" s="406"/>
      <c r="E25" s="406"/>
      <c r="F25" s="406"/>
      <c r="G25" s="406"/>
    </row>
    <row r="26" spans="2:11">
      <c r="B26" s="406"/>
      <c r="C26" s="406"/>
      <c r="D26" s="406"/>
      <c r="E26" s="406"/>
      <c r="F26" s="406"/>
      <c r="G26" s="406"/>
    </row>
    <row r="27" spans="2:11">
      <c r="B27" s="406"/>
      <c r="C27" s="406"/>
      <c r="D27" s="406"/>
      <c r="E27" s="406"/>
      <c r="F27" s="406"/>
      <c r="G27" s="406"/>
    </row>
    <row r="28" spans="2:11">
      <c r="B28" s="406"/>
      <c r="C28" s="406"/>
      <c r="D28" s="406"/>
      <c r="E28" s="406"/>
      <c r="F28" s="406"/>
      <c r="G28" s="406"/>
    </row>
    <row r="29" spans="2:11">
      <c r="B29" s="406"/>
      <c r="C29" s="406"/>
      <c r="D29" s="406"/>
      <c r="E29" s="406"/>
      <c r="F29" s="406"/>
      <c r="G29" s="406"/>
    </row>
    <row r="30" spans="2:11">
      <c r="B30" s="406"/>
      <c r="C30" s="406"/>
      <c r="D30" s="406"/>
      <c r="E30" s="406"/>
      <c r="F30" s="406"/>
      <c r="G30" s="406"/>
    </row>
  </sheetData>
  <sheetProtection algorithmName="SHA-512" hashValue="laokqAatWKi28zDDr1Xg0TGf2T0JMP7QRJzyxnguZvgHey5Nte+xJx696UsgT+z3hUdjpckKSq0RJTMXSOmgqg==" saltValue="GoqzKMHDaldZACkFYd2B2w==" spinCount="100000" sheet="1" objects="1" scenarios="1"/>
  <mergeCells count="9">
    <mergeCell ref="L7:M7"/>
    <mergeCell ref="N7:O7"/>
    <mergeCell ref="P7:Q7"/>
    <mergeCell ref="B15:G15"/>
    <mergeCell ref="B21:G30"/>
    <mergeCell ref="D7:E7"/>
    <mergeCell ref="F7:G7"/>
    <mergeCell ref="H7:I7"/>
    <mergeCell ref="J7:K7"/>
  </mergeCells>
  <pageMargins left="0.7" right="0.7" top="0.75" bottom="0.75" header="0.3" footer="0.3"/>
  <pageSetup paperSize="9" scale="85"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1993-C21D-4F34-91D9-B79FC6FF33E8}">
  <sheetPr codeName="Sheet4">
    <tabColor theme="5" tint="0.39997558519241921"/>
    <pageSetUpPr autoPageBreaks="0"/>
  </sheetPr>
  <dimension ref="B2:U44"/>
  <sheetViews>
    <sheetView showGridLines="0" zoomScaleNormal="100" workbookViewId="0"/>
  </sheetViews>
  <sheetFormatPr defaultColWidth="8.453125" defaultRowHeight="14.5"/>
  <cols>
    <col min="1" max="1" width="3.453125" style="12" customWidth="1"/>
    <col min="2" max="2" width="49.1796875" style="12" customWidth="1"/>
    <col min="3" max="3" width="8.1796875" style="12" customWidth="1"/>
    <col min="4" max="6" width="9.453125" style="12" customWidth="1"/>
    <col min="7" max="7" width="9.453125" style="12" bestFit="1" customWidth="1"/>
    <col min="8" max="9" width="8.54296875" style="12" bestFit="1" customWidth="1"/>
    <col min="10" max="10" width="9" style="12" bestFit="1" customWidth="1"/>
    <col min="11" max="13" width="8.453125" style="12"/>
    <col min="14" max="15" width="8.54296875" style="12" bestFit="1" customWidth="1"/>
    <col min="16" max="16" width="8.453125" style="12"/>
    <col min="17" max="18" width="8.54296875" style="12" bestFit="1" customWidth="1"/>
    <col min="19" max="19" width="8.453125" style="12"/>
    <col min="20" max="21" width="8.54296875" style="12" bestFit="1" customWidth="1"/>
    <col min="22" max="16384" width="8.453125" style="12"/>
  </cols>
  <sheetData>
    <row r="2" spans="2:21">
      <c r="F2" s="89"/>
      <c r="G2" s="89"/>
      <c r="H2" s="90" t="s">
        <v>78</v>
      </c>
    </row>
    <row r="6" spans="2:21">
      <c r="B6" s="75" t="s">
        <v>605</v>
      </c>
      <c r="C6" s="59"/>
      <c r="D6" s="59"/>
      <c r="E6" s="59"/>
      <c r="F6" s="18"/>
      <c r="G6" s="18"/>
      <c r="H6" s="18"/>
      <c r="I6" s="18"/>
      <c r="J6" s="11"/>
    </row>
    <row r="7" spans="2:21">
      <c r="C7" s="59"/>
      <c r="D7" s="399" t="s">
        <v>123</v>
      </c>
      <c r="E7" s="402"/>
      <c r="F7" s="400"/>
      <c r="G7" s="399" t="s">
        <v>124</v>
      </c>
      <c r="H7" s="402"/>
      <c r="I7" s="400"/>
      <c r="J7" s="399" t="s">
        <v>125</v>
      </c>
      <c r="K7" s="402"/>
      <c r="L7" s="400"/>
      <c r="M7" s="399" t="s">
        <v>218</v>
      </c>
      <c r="N7" s="402"/>
      <c r="O7" s="400"/>
      <c r="P7" s="399" t="s">
        <v>232</v>
      </c>
      <c r="Q7" s="402"/>
      <c r="R7" s="400"/>
      <c r="S7" s="399" t="s">
        <v>154</v>
      </c>
      <c r="T7" s="402"/>
      <c r="U7" s="400"/>
    </row>
    <row r="8" spans="2:21">
      <c r="B8" s="155" t="s">
        <v>233</v>
      </c>
      <c r="C8" s="155" t="s">
        <v>234</v>
      </c>
      <c r="D8" s="162" t="s">
        <v>108</v>
      </c>
      <c r="E8" s="171" t="s">
        <v>109</v>
      </c>
      <c r="F8" s="166" t="s">
        <v>141</v>
      </c>
      <c r="G8" s="162" t="s">
        <v>108</v>
      </c>
      <c r="H8" s="171" t="s">
        <v>109</v>
      </c>
      <c r="I8" s="166" t="s">
        <v>141</v>
      </c>
      <c r="J8" s="162" t="s">
        <v>108</v>
      </c>
      <c r="K8" s="171" t="s">
        <v>109</v>
      </c>
      <c r="L8" s="166" t="s">
        <v>141</v>
      </c>
      <c r="M8" s="162" t="s">
        <v>108</v>
      </c>
      <c r="N8" s="171" t="s">
        <v>109</v>
      </c>
      <c r="O8" s="166" t="s">
        <v>141</v>
      </c>
      <c r="P8" s="162" t="s">
        <v>108</v>
      </c>
      <c r="Q8" s="171" t="s">
        <v>109</v>
      </c>
      <c r="R8" s="166" t="s">
        <v>141</v>
      </c>
      <c r="S8" s="162" t="s">
        <v>108</v>
      </c>
      <c r="T8" s="171" t="s">
        <v>109</v>
      </c>
      <c r="U8" s="166" t="s">
        <v>141</v>
      </c>
    </row>
    <row r="9" spans="2:21" ht="13.4" customHeight="1">
      <c r="B9" s="124" t="s">
        <v>235</v>
      </c>
      <c r="C9" s="124" t="s">
        <v>236</v>
      </c>
      <c r="D9" s="318">
        <v>58</v>
      </c>
      <c r="E9" s="189">
        <v>49.3</v>
      </c>
      <c r="F9" s="189">
        <v>28.6</v>
      </c>
      <c r="G9" s="318">
        <v>25.1</v>
      </c>
      <c r="H9" s="189">
        <v>15.1</v>
      </c>
      <c r="I9" s="189">
        <v>20</v>
      </c>
      <c r="J9" s="262"/>
      <c r="K9" s="189">
        <v>78.599999999999994</v>
      </c>
      <c r="L9" s="189">
        <v>53.8</v>
      </c>
      <c r="M9" s="318">
        <v>37.5</v>
      </c>
      <c r="N9" s="189">
        <v>9.3000000000000007</v>
      </c>
      <c r="O9" s="189">
        <v>13.3</v>
      </c>
      <c r="P9" s="318">
        <v>0</v>
      </c>
      <c r="Q9" s="189">
        <v>0</v>
      </c>
      <c r="R9" s="189">
        <v>40.299999999999997</v>
      </c>
      <c r="S9" s="318">
        <v>48</v>
      </c>
      <c r="T9" s="189">
        <v>55</v>
      </c>
      <c r="U9" s="189">
        <v>59</v>
      </c>
    </row>
    <row r="10" spans="2:21" ht="13.4" customHeight="1">
      <c r="B10" s="78" t="s">
        <v>237</v>
      </c>
      <c r="C10" s="78" t="s">
        <v>225</v>
      </c>
      <c r="D10" s="318">
        <v>0</v>
      </c>
      <c r="E10" s="182">
        <v>0</v>
      </c>
      <c r="F10" s="182">
        <v>0</v>
      </c>
      <c r="G10" s="318">
        <v>0</v>
      </c>
      <c r="H10" s="182">
        <v>0</v>
      </c>
      <c r="I10" s="182">
        <v>0</v>
      </c>
      <c r="J10" s="262"/>
      <c r="K10" s="182">
        <v>0</v>
      </c>
      <c r="L10" s="182">
        <v>0</v>
      </c>
      <c r="M10" s="318">
        <v>0</v>
      </c>
      <c r="N10" s="182">
        <v>0</v>
      </c>
      <c r="O10" s="182">
        <v>0</v>
      </c>
      <c r="P10" s="318">
        <v>0</v>
      </c>
      <c r="Q10" s="182">
        <v>0</v>
      </c>
      <c r="R10" s="182">
        <v>0</v>
      </c>
      <c r="S10" s="318">
        <v>0</v>
      </c>
      <c r="T10" s="182">
        <v>0</v>
      </c>
      <c r="U10" s="182">
        <v>0</v>
      </c>
    </row>
    <row r="11" spans="2:21" ht="13.4" customHeight="1">
      <c r="B11" s="78" t="s">
        <v>238</v>
      </c>
      <c r="C11" s="78" t="s">
        <v>225</v>
      </c>
      <c r="D11" s="318">
        <v>0</v>
      </c>
      <c r="E11" s="182">
        <v>0</v>
      </c>
      <c r="F11" s="182">
        <v>1</v>
      </c>
      <c r="G11" s="319">
        <v>3</v>
      </c>
      <c r="H11" s="182">
        <v>0</v>
      </c>
      <c r="I11" s="182">
        <v>5</v>
      </c>
      <c r="J11" s="262"/>
      <c r="K11" s="182">
        <v>0</v>
      </c>
      <c r="L11" s="182">
        <v>0</v>
      </c>
      <c r="M11" s="318">
        <v>0</v>
      </c>
      <c r="N11" s="182">
        <v>0</v>
      </c>
      <c r="O11" s="182">
        <v>0</v>
      </c>
      <c r="P11" s="318">
        <v>0</v>
      </c>
      <c r="Q11" s="182">
        <v>0</v>
      </c>
      <c r="R11" s="182">
        <v>0</v>
      </c>
      <c r="S11" s="318">
        <v>3</v>
      </c>
      <c r="T11" s="182">
        <v>0</v>
      </c>
      <c r="U11" s="182">
        <v>0</v>
      </c>
    </row>
    <row r="12" spans="2:21" ht="13.4" customHeight="1">
      <c r="B12" s="78" t="s">
        <v>239</v>
      </c>
      <c r="C12" s="78" t="s">
        <v>225</v>
      </c>
      <c r="D12" s="318">
        <v>1</v>
      </c>
      <c r="E12" s="182">
        <v>1</v>
      </c>
      <c r="F12" s="182">
        <v>3</v>
      </c>
      <c r="G12" s="318">
        <v>2</v>
      </c>
      <c r="H12" s="182">
        <v>2</v>
      </c>
      <c r="I12" s="182">
        <v>5</v>
      </c>
      <c r="J12" s="262"/>
      <c r="K12" s="182">
        <v>1</v>
      </c>
      <c r="L12" s="182">
        <v>4</v>
      </c>
      <c r="M12" s="318">
        <v>4</v>
      </c>
      <c r="N12" s="182">
        <v>4</v>
      </c>
      <c r="O12" s="182">
        <v>4</v>
      </c>
      <c r="P12" s="318">
        <v>0</v>
      </c>
      <c r="Q12" s="182">
        <v>0</v>
      </c>
      <c r="R12" s="182">
        <v>1</v>
      </c>
      <c r="S12" s="318">
        <v>1</v>
      </c>
      <c r="T12" s="182">
        <v>2</v>
      </c>
      <c r="U12" s="182">
        <v>3</v>
      </c>
    </row>
    <row r="13" spans="2:21" ht="13.4" customHeight="1">
      <c r="B13" s="78" t="s">
        <v>240</v>
      </c>
      <c r="C13" s="78" t="s">
        <v>225</v>
      </c>
      <c r="D13" s="318">
        <v>3</v>
      </c>
      <c r="E13" s="205">
        <v>5</v>
      </c>
      <c r="F13" s="205">
        <v>4</v>
      </c>
      <c r="G13" s="318">
        <v>7</v>
      </c>
      <c r="H13" s="205">
        <v>8</v>
      </c>
      <c r="I13" s="205">
        <v>13</v>
      </c>
      <c r="J13" s="262"/>
      <c r="K13" s="205">
        <v>0</v>
      </c>
      <c r="L13" s="205">
        <v>1</v>
      </c>
      <c r="M13" s="318">
        <v>1</v>
      </c>
      <c r="N13" s="205">
        <v>5</v>
      </c>
      <c r="O13" s="205">
        <v>3</v>
      </c>
      <c r="P13" s="318">
        <v>0</v>
      </c>
      <c r="Q13" s="205">
        <v>0</v>
      </c>
      <c r="R13" s="205">
        <v>0</v>
      </c>
      <c r="S13" s="318">
        <v>5</v>
      </c>
      <c r="T13" s="205">
        <v>3</v>
      </c>
      <c r="U13" s="205">
        <v>1</v>
      </c>
    </row>
    <row r="14" spans="2:21" ht="13.4" customHeight="1">
      <c r="B14" s="78" t="s">
        <v>241</v>
      </c>
      <c r="C14" s="78" t="s">
        <v>236</v>
      </c>
      <c r="D14" s="318">
        <v>0</v>
      </c>
      <c r="E14" s="182">
        <v>0</v>
      </c>
      <c r="F14" s="182">
        <v>0</v>
      </c>
      <c r="G14" s="318">
        <v>0</v>
      </c>
      <c r="H14" s="182">
        <v>0</v>
      </c>
      <c r="I14" s="182">
        <v>0</v>
      </c>
      <c r="J14" s="262"/>
      <c r="K14" s="206">
        <v>0</v>
      </c>
      <c r="L14" s="206">
        <v>0</v>
      </c>
      <c r="M14" s="318">
        <v>0</v>
      </c>
      <c r="N14" s="208">
        <v>0</v>
      </c>
      <c r="O14" s="208">
        <v>0</v>
      </c>
      <c r="P14" s="318">
        <v>0</v>
      </c>
      <c r="Q14" s="208">
        <v>0</v>
      </c>
      <c r="R14" s="208">
        <v>0</v>
      </c>
      <c r="S14" s="318">
        <v>0</v>
      </c>
      <c r="T14" s="208">
        <v>0</v>
      </c>
      <c r="U14" s="208">
        <v>0</v>
      </c>
    </row>
    <row r="15" spans="2:21" ht="13.4" customHeight="1">
      <c r="B15" s="78" t="s">
        <v>242</v>
      </c>
      <c r="C15" s="78" t="s">
        <v>236</v>
      </c>
      <c r="D15" s="318">
        <v>0</v>
      </c>
      <c r="E15" s="206">
        <v>0</v>
      </c>
      <c r="F15" s="206">
        <v>1.79</v>
      </c>
      <c r="G15" s="318">
        <v>3.02</v>
      </c>
      <c r="H15" s="206">
        <v>0</v>
      </c>
      <c r="I15" s="206">
        <v>5.0199999999999996</v>
      </c>
      <c r="J15" s="262"/>
      <c r="K15" s="206">
        <v>0</v>
      </c>
      <c r="L15" s="206">
        <v>0</v>
      </c>
      <c r="M15" s="318">
        <v>0</v>
      </c>
      <c r="N15" s="182">
        <v>0</v>
      </c>
      <c r="O15" s="182">
        <v>0</v>
      </c>
      <c r="P15" s="318">
        <v>0</v>
      </c>
      <c r="Q15" s="182">
        <v>0</v>
      </c>
      <c r="R15" s="182">
        <v>0</v>
      </c>
      <c r="S15" s="318">
        <v>14.43</v>
      </c>
      <c r="T15" s="182">
        <v>0</v>
      </c>
      <c r="U15" s="182">
        <v>0</v>
      </c>
    </row>
    <row r="16" spans="2:21" ht="13.4" customHeight="1">
      <c r="B16" s="78" t="s">
        <v>243</v>
      </c>
      <c r="C16" s="78" t="s">
        <v>236</v>
      </c>
      <c r="D16" s="318">
        <v>7.26</v>
      </c>
      <c r="E16" s="206">
        <v>8.82</v>
      </c>
      <c r="F16" s="186">
        <v>8.9600000000000009</v>
      </c>
      <c r="G16" s="318">
        <v>10.06</v>
      </c>
      <c r="H16" s="206">
        <v>8.65</v>
      </c>
      <c r="I16" s="186">
        <v>13.06</v>
      </c>
      <c r="J16" s="262"/>
      <c r="K16" s="206">
        <v>0</v>
      </c>
      <c r="L16" s="186">
        <v>5.39</v>
      </c>
      <c r="M16" s="318">
        <v>4.6900000000000004</v>
      </c>
      <c r="N16" s="207">
        <v>23.29</v>
      </c>
      <c r="O16" s="207">
        <v>13.27</v>
      </c>
      <c r="P16" s="318">
        <v>0</v>
      </c>
      <c r="Q16" s="207">
        <v>0</v>
      </c>
      <c r="R16" s="207">
        <v>0</v>
      </c>
      <c r="S16" s="318">
        <v>38.47</v>
      </c>
      <c r="T16" s="207">
        <v>18.38</v>
      </c>
      <c r="U16" s="207">
        <v>7.39</v>
      </c>
    </row>
    <row r="17" spans="2:21" ht="13.4" customHeight="1">
      <c r="B17" s="78" t="s">
        <v>244</v>
      </c>
      <c r="C17" s="78" t="s">
        <v>225</v>
      </c>
      <c r="D17" s="320">
        <v>413199</v>
      </c>
      <c r="E17" s="182">
        <v>566834</v>
      </c>
      <c r="F17" s="182">
        <v>558124</v>
      </c>
      <c r="G17" s="320">
        <v>994378</v>
      </c>
      <c r="H17" s="182">
        <v>924660</v>
      </c>
      <c r="I17" s="182">
        <v>995660</v>
      </c>
      <c r="J17" s="262"/>
      <c r="K17" s="182">
        <v>127102</v>
      </c>
      <c r="L17" s="182">
        <v>185535</v>
      </c>
      <c r="M17" s="320">
        <v>213212</v>
      </c>
      <c r="N17" s="182">
        <v>214712</v>
      </c>
      <c r="O17" s="182">
        <v>226151</v>
      </c>
      <c r="P17" s="318">
        <v>1832</v>
      </c>
      <c r="Q17" s="182">
        <v>176215</v>
      </c>
      <c r="R17" s="182">
        <v>272795</v>
      </c>
      <c r="S17" s="320">
        <v>207957</v>
      </c>
      <c r="T17" s="182">
        <v>163209</v>
      </c>
      <c r="U17" s="182">
        <v>135390</v>
      </c>
    </row>
    <row r="18" spans="2:21">
      <c r="B18" s="98"/>
      <c r="C18" s="98"/>
      <c r="D18" s="98"/>
      <c r="E18" s="98"/>
      <c r="F18" s="98"/>
      <c r="G18" s="98"/>
      <c r="H18" s="42"/>
    </row>
    <row r="19" spans="2:21">
      <c r="C19" s="59"/>
      <c r="D19" s="403" t="s">
        <v>159</v>
      </c>
      <c r="E19" s="404"/>
      <c r="F19" s="404"/>
      <c r="G19" s="404"/>
      <c r="H19" s="404"/>
    </row>
    <row r="20" spans="2:21">
      <c r="B20" s="155" t="s">
        <v>233</v>
      </c>
      <c r="C20" s="155" t="s">
        <v>234</v>
      </c>
      <c r="D20" s="162" t="s">
        <v>108</v>
      </c>
      <c r="E20" s="171" t="s">
        <v>109</v>
      </c>
      <c r="F20" s="171" t="s">
        <v>141</v>
      </c>
      <c r="G20" s="171" t="s">
        <v>160</v>
      </c>
      <c r="H20" s="166" t="s">
        <v>161</v>
      </c>
    </row>
    <row r="21" spans="2:21">
      <c r="B21" s="124" t="s">
        <v>235</v>
      </c>
      <c r="C21" s="124" t="s">
        <v>236</v>
      </c>
      <c r="D21" s="318">
        <v>33.799999999999997</v>
      </c>
      <c r="E21" s="189">
        <v>29.4</v>
      </c>
      <c r="F21" s="189">
        <v>27.5</v>
      </c>
      <c r="G21" s="189">
        <v>25.6</v>
      </c>
      <c r="H21" s="189">
        <v>23.6</v>
      </c>
    </row>
    <row r="22" spans="2:21">
      <c r="B22" s="78" t="s">
        <v>237</v>
      </c>
      <c r="C22" s="78" t="s">
        <v>225</v>
      </c>
      <c r="D22" s="318">
        <v>0</v>
      </c>
      <c r="E22" s="182">
        <v>0</v>
      </c>
      <c r="F22" s="182">
        <v>0</v>
      </c>
      <c r="G22" s="182">
        <v>0</v>
      </c>
      <c r="H22" s="182">
        <v>0</v>
      </c>
    </row>
    <row r="23" spans="2:21">
      <c r="B23" s="78" t="s">
        <v>238</v>
      </c>
      <c r="C23" s="78" t="s">
        <v>225</v>
      </c>
      <c r="D23" s="318">
        <v>6</v>
      </c>
      <c r="E23" s="182">
        <v>0</v>
      </c>
      <c r="F23" s="182">
        <v>6</v>
      </c>
      <c r="G23" s="182">
        <v>8</v>
      </c>
      <c r="H23" s="182">
        <v>10</v>
      </c>
    </row>
    <row r="24" spans="2:21">
      <c r="B24" s="78" t="s">
        <v>239</v>
      </c>
      <c r="C24" s="78" t="s">
        <v>225</v>
      </c>
      <c r="D24" s="318">
        <v>8</v>
      </c>
      <c r="E24" s="182">
        <v>11</v>
      </c>
      <c r="F24" s="182">
        <v>20</v>
      </c>
      <c r="G24" s="182">
        <v>15</v>
      </c>
      <c r="H24" s="182">
        <v>18</v>
      </c>
    </row>
    <row r="25" spans="2:21">
      <c r="B25" s="78" t="s">
        <v>240</v>
      </c>
      <c r="C25" s="78" t="s">
        <v>225</v>
      </c>
      <c r="D25" s="318">
        <v>16</v>
      </c>
      <c r="E25" s="205">
        <v>21</v>
      </c>
      <c r="F25" s="205">
        <v>22</v>
      </c>
      <c r="G25" s="205">
        <v>23</v>
      </c>
      <c r="H25" s="205">
        <v>23</v>
      </c>
    </row>
    <row r="26" spans="2:21">
      <c r="B26" s="78" t="s">
        <v>241</v>
      </c>
      <c r="C26" s="78" t="s">
        <v>236</v>
      </c>
      <c r="D26" s="318">
        <v>0</v>
      </c>
      <c r="E26" s="182">
        <v>0</v>
      </c>
      <c r="F26" s="182">
        <v>0</v>
      </c>
      <c r="G26" s="182">
        <v>0</v>
      </c>
      <c r="H26" s="182">
        <v>0</v>
      </c>
    </row>
    <row r="27" spans="2:21">
      <c r="B27" s="78" t="s">
        <v>242</v>
      </c>
      <c r="C27" s="78" t="s">
        <v>236</v>
      </c>
      <c r="D27" s="318">
        <v>3.03</v>
      </c>
      <c r="E27" s="206">
        <v>0</v>
      </c>
      <c r="F27" s="206">
        <v>2.36</v>
      </c>
      <c r="G27" s="206">
        <v>3.06</v>
      </c>
      <c r="H27" s="206">
        <v>4.08</v>
      </c>
    </row>
    <row r="28" spans="2:21">
      <c r="B28" s="78" t="s">
        <v>243</v>
      </c>
      <c r="C28" s="78" t="s">
        <v>236</v>
      </c>
      <c r="D28" s="318">
        <v>11.12</v>
      </c>
      <c r="E28" s="206">
        <v>9.24</v>
      </c>
      <c r="F28" s="186">
        <v>11</v>
      </c>
      <c r="G28" s="206">
        <v>11.86</v>
      </c>
      <c r="H28" s="186">
        <v>14.98</v>
      </c>
    </row>
    <row r="29" spans="2:21">
      <c r="B29" s="78" t="s">
        <v>244</v>
      </c>
      <c r="C29" s="78" t="s">
        <v>225</v>
      </c>
      <c r="D29" s="320">
        <v>1978237</v>
      </c>
      <c r="E29" s="182">
        <v>2272371</v>
      </c>
      <c r="F29" s="182">
        <v>2544705</v>
      </c>
      <c r="G29" s="182">
        <v>2612838</v>
      </c>
      <c r="H29" s="182">
        <v>2203268</v>
      </c>
    </row>
    <row r="30" spans="2:21">
      <c r="B30" s="98"/>
      <c r="C30" s="98"/>
      <c r="D30" s="98"/>
      <c r="E30" s="98"/>
      <c r="F30" s="98"/>
      <c r="G30" s="98"/>
      <c r="H30" s="42"/>
    </row>
    <row r="31" spans="2:21">
      <c r="B31" s="127" t="s">
        <v>245</v>
      </c>
      <c r="C31" s="127"/>
      <c r="D31" s="127"/>
      <c r="E31" s="127"/>
      <c r="F31" s="128"/>
      <c r="G31" s="128"/>
      <c r="H31" s="58"/>
    </row>
    <row r="32" spans="2:21" ht="16.399999999999999" customHeight="1">
      <c r="B32" s="100"/>
      <c r="C32" s="100"/>
      <c r="D32" s="100"/>
      <c r="E32" s="100"/>
      <c r="F32" s="100"/>
      <c r="G32" s="100"/>
    </row>
    <row r="33" spans="2:7" ht="15" customHeight="1">
      <c r="B33" s="406" t="s">
        <v>246</v>
      </c>
      <c r="C33" s="406"/>
      <c r="D33" s="406"/>
      <c r="E33" s="406"/>
      <c r="F33" s="406"/>
      <c r="G33" s="406"/>
    </row>
    <row r="34" spans="2:7">
      <c r="B34" s="406"/>
      <c r="C34" s="406"/>
      <c r="D34" s="406"/>
      <c r="E34" s="406"/>
      <c r="F34" s="406"/>
      <c r="G34" s="406"/>
    </row>
    <row r="35" spans="2:7" ht="15" customHeight="1">
      <c r="B35" s="406"/>
      <c r="C35" s="406"/>
      <c r="D35" s="406"/>
      <c r="E35" s="406"/>
      <c r="F35" s="406"/>
      <c r="G35" s="406"/>
    </row>
    <row r="36" spans="2:7">
      <c r="B36" s="406"/>
      <c r="C36" s="406"/>
      <c r="D36" s="406"/>
      <c r="E36" s="406"/>
      <c r="F36" s="406"/>
      <c r="G36" s="406"/>
    </row>
    <row r="37" spans="2:7" ht="15" customHeight="1">
      <c r="B37" s="406"/>
      <c r="C37" s="406"/>
      <c r="D37" s="406"/>
      <c r="E37" s="406"/>
      <c r="F37" s="406"/>
      <c r="G37" s="406"/>
    </row>
    <row r="38" spans="2:7">
      <c r="B38" s="406"/>
      <c r="C38" s="406"/>
      <c r="D38" s="406"/>
      <c r="E38" s="406"/>
      <c r="F38" s="406"/>
      <c r="G38" s="406"/>
    </row>
    <row r="39" spans="2:7" ht="15" customHeight="1">
      <c r="B39" s="406"/>
      <c r="C39" s="406"/>
      <c r="D39" s="406"/>
      <c r="E39" s="406"/>
      <c r="F39" s="406"/>
      <c r="G39" s="406"/>
    </row>
    <row r="40" spans="2:7">
      <c r="B40" s="406"/>
      <c r="C40" s="406"/>
      <c r="D40" s="406"/>
      <c r="E40" s="406"/>
      <c r="F40" s="406"/>
      <c r="G40" s="406"/>
    </row>
    <row r="41" spans="2:7" ht="15" customHeight="1">
      <c r="B41" s="406"/>
      <c r="C41" s="406"/>
      <c r="D41" s="406"/>
      <c r="E41" s="406"/>
      <c r="F41" s="406"/>
      <c r="G41" s="406"/>
    </row>
    <row r="42" spans="2:7" ht="140.5" customHeight="1">
      <c r="B42" s="406"/>
      <c r="C42" s="406"/>
      <c r="D42" s="406"/>
      <c r="E42" s="406"/>
      <c r="F42" s="406"/>
      <c r="G42" s="406"/>
    </row>
    <row r="43" spans="2:7" ht="15" customHeight="1">
      <c r="B43" s="406" t="s">
        <v>247</v>
      </c>
      <c r="C43" s="406"/>
      <c r="D43" s="406"/>
      <c r="E43" s="406"/>
      <c r="F43" s="406"/>
      <c r="G43" s="406"/>
    </row>
    <row r="44" spans="2:7">
      <c r="B44" s="406"/>
      <c r="C44" s="406"/>
      <c r="D44" s="406"/>
      <c r="E44" s="406"/>
      <c r="F44" s="406"/>
      <c r="G44" s="406"/>
    </row>
  </sheetData>
  <sheetProtection algorithmName="SHA-512" hashValue="Kxfd+gA4+zsI/eFjt+yhpS5xXenj8YMXEDQd1ezoOKxrbpM2IcImlfI3NnOKjHv/6PCcOlIzHd+RQT5xDUuyKQ==" saltValue="t4AdRtqDND6RxizEhFnx8g==" spinCount="100000" sheet="1" objects="1" scenarios="1"/>
  <mergeCells count="9">
    <mergeCell ref="M7:O7"/>
    <mergeCell ref="P7:R7"/>
    <mergeCell ref="S7:U7"/>
    <mergeCell ref="D19:H19"/>
    <mergeCell ref="B43:G44"/>
    <mergeCell ref="B33:G42"/>
    <mergeCell ref="D7:F7"/>
    <mergeCell ref="G7:I7"/>
    <mergeCell ref="J7:L7"/>
  </mergeCells>
  <pageMargins left="0.7" right="0.7" top="0.75" bottom="0.75" header="0.3" footer="0.3"/>
  <pageSetup paperSize="9" scale="67"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73E7-7123-4426-AF8A-C6A537AA2364}">
  <sheetPr codeName="Sheet6">
    <tabColor theme="5" tint="0.39997558519241921"/>
    <pageSetUpPr autoPageBreaks="0"/>
  </sheetPr>
  <dimension ref="A1:N136"/>
  <sheetViews>
    <sheetView showGridLines="0" zoomScaleNormal="100" workbookViewId="0">
      <selection activeCell="B24" sqref="B24"/>
    </sheetView>
  </sheetViews>
  <sheetFormatPr defaultColWidth="8.453125" defaultRowHeight="14.5"/>
  <cols>
    <col min="1" max="1" width="3.453125" style="12" customWidth="1"/>
    <col min="2" max="2" width="52.453125" style="12" customWidth="1"/>
    <col min="3" max="3" width="11.54296875" style="12" customWidth="1"/>
    <col min="4" max="8" width="12.1796875" style="12" customWidth="1"/>
    <col min="9" max="14" width="11.453125" style="12" customWidth="1"/>
    <col min="15" max="15" width="9.54296875" style="12" bestFit="1" customWidth="1"/>
    <col min="16" max="16" width="10" style="12" customWidth="1"/>
    <col min="17" max="16384" width="8.453125" style="12"/>
  </cols>
  <sheetData>
    <row r="1" spans="1:12">
      <c r="A1" s="62"/>
    </row>
    <row r="2" spans="1:12">
      <c r="I2" s="72" t="s">
        <v>78</v>
      </c>
    </row>
    <row r="3" spans="1:12">
      <c r="H3" s="37"/>
      <c r="L3" s="37"/>
    </row>
    <row r="7" spans="1:12">
      <c r="B7" s="75" t="s">
        <v>248</v>
      </c>
      <c r="C7" s="75"/>
    </row>
    <row r="8" spans="1:12" customFormat="1">
      <c r="B8" s="155" t="s">
        <v>32</v>
      </c>
      <c r="C8" s="155"/>
      <c r="D8" s="155" t="s">
        <v>107</v>
      </c>
      <c r="E8" s="158" t="s">
        <v>123</v>
      </c>
      <c r="F8" s="158" t="s">
        <v>124</v>
      </c>
      <c r="G8" s="158" t="s">
        <v>126</v>
      </c>
      <c r="H8" s="158" t="s">
        <v>219</v>
      </c>
      <c r="I8" s="158" t="s">
        <v>154</v>
      </c>
      <c r="J8" s="158" t="s">
        <v>249</v>
      </c>
    </row>
    <row r="9" spans="1:12" customFormat="1">
      <c r="B9" s="124" t="s">
        <v>250</v>
      </c>
      <c r="C9" s="124"/>
      <c r="D9" s="210" t="s">
        <v>225</v>
      </c>
      <c r="E9" s="247">
        <v>13</v>
      </c>
      <c r="F9" s="247">
        <v>446</v>
      </c>
      <c r="G9" s="247">
        <v>114</v>
      </c>
      <c r="H9" s="247">
        <v>0</v>
      </c>
      <c r="I9" s="247">
        <v>101</v>
      </c>
      <c r="J9" s="247">
        <v>63</v>
      </c>
    </row>
    <row r="10" spans="1:12" customFormat="1">
      <c r="B10" s="204" t="s">
        <v>251</v>
      </c>
      <c r="C10" s="204"/>
      <c r="D10" s="210" t="s">
        <v>225</v>
      </c>
      <c r="E10" s="248">
        <v>7</v>
      </c>
      <c r="F10" s="248">
        <v>114</v>
      </c>
      <c r="G10" s="248">
        <v>18</v>
      </c>
      <c r="H10" s="248">
        <v>0</v>
      </c>
      <c r="I10" s="248">
        <v>56</v>
      </c>
      <c r="J10" s="248">
        <v>58</v>
      </c>
    </row>
    <row r="11" spans="1:12" customFormat="1">
      <c r="B11" s="204" t="s">
        <v>252</v>
      </c>
      <c r="C11" s="204"/>
      <c r="D11" s="210" t="s">
        <v>225</v>
      </c>
      <c r="E11" s="248">
        <v>6</v>
      </c>
      <c r="F11" s="248">
        <v>332</v>
      </c>
      <c r="G11" s="248">
        <v>96</v>
      </c>
      <c r="H11" s="248">
        <v>0</v>
      </c>
      <c r="I11" s="248">
        <v>45</v>
      </c>
      <c r="J11" s="248">
        <v>5</v>
      </c>
    </row>
    <row r="12" spans="1:12" customFormat="1">
      <c r="B12" s="204" t="s">
        <v>253</v>
      </c>
      <c r="C12" s="204"/>
      <c r="D12" s="210" t="s">
        <v>185</v>
      </c>
      <c r="E12" s="249">
        <v>0.46</v>
      </c>
      <c r="F12" s="249">
        <v>0.74</v>
      </c>
      <c r="G12" s="249">
        <v>0.84</v>
      </c>
      <c r="H12" s="249">
        <v>0</v>
      </c>
      <c r="I12" s="249">
        <v>0.45</v>
      </c>
      <c r="J12" s="249">
        <v>0.08</v>
      </c>
    </row>
    <row r="13" spans="1:12" customFormat="1"/>
    <row r="14" spans="1:12" customFormat="1">
      <c r="E14" s="408" t="s">
        <v>159</v>
      </c>
      <c r="F14" s="408"/>
      <c r="G14" s="408"/>
    </row>
    <row r="15" spans="1:12" customFormat="1">
      <c r="B15" s="155" t="s">
        <v>32</v>
      </c>
      <c r="C15" s="155"/>
      <c r="D15" s="155" t="s">
        <v>107</v>
      </c>
      <c r="E15" s="158" t="s">
        <v>108</v>
      </c>
      <c r="F15" s="158" t="s">
        <v>109</v>
      </c>
      <c r="G15" s="158" t="s">
        <v>141</v>
      </c>
    </row>
    <row r="16" spans="1:12" customFormat="1">
      <c r="B16" s="204" t="s">
        <v>251</v>
      </c>
      <c r="C16" s="204"/>
      <c r="D16" s="210" t="s">
        <v>225</v>
      </c>
      <c r="E16" s="247">
        <v>253</v>
      </c>
      <c r="F16" s="125">
        <v>312</v>
      </c>
      <c r="G16" s="125">
        <v>320</v>
      </c>
    </row>
    <row r="17" spans="2:14" customFormat="1">
      <c r="B17" s="204" t="s">
        <v>254</v>
      </c>
      <c r="C17" s="204"/>
      <c r="D17" s="210" t="s">
        <v>185</v>
      </c>
      <c r="E17" s="249">
        <v>0.23</v>
      </c>
      <c r="F17" s="213">
        <v>0.19</v>
      </c>
      <c r="G17" s="213">
        <v>0.18</v>
      </c>
    </row>
    <row r="18" spans="2:14" customFormat="1">
      <c r="B18" s="204" t="s">
        <v>252</v>
      </c>
      <c r="C18" s="204"/>
      <c r="D18" s="210" t="s">
        <v>225</v>
      </c>
      <c r="E18" s="248">
        <v>484</v>
      </c>
      <c r="F18" s="126">
        <v>464</v>
      </c>
      <c r="G18" s="126">
        <v>716</v>
      </c>
    </row>
    <row r="19" spans="2:14" customFormat="1">
      <c r="B19" s="204" t="s">
        <v>250</v>
      </c>
      <c r="C19" s="204"/>
      <c r="D19" s="210" t="s">
        <v>225</v>
      </c>
      <c r="E19" s="305">
        <v>737</v>
      </c>
      <c r="F19" s="214">
        <v>776</v>
      </c>
      <c r="G19" s="214">
        <v>1036</v>
      </c>
    </row>
    <row r="20" spans="2:14" customFormat="1">
      <c r="B20" s="204" t="s">
        <v>253</v>
      </c>
      <c r="C20" s="204"/>
      <c r="D20" s="210" t="s">
        <v>185</v>
      </c>
      <c r="E20" s="249">
        <v>0.66</v>
      </c>
      <c r="F20" s="211">
        <v>0.61</v>
      </c>
      <c r="G20" s="211">
        <v>0.69</v>
      </c>
    </row>
    <row r="21" spans="2:14" customFormat="1">
      <c r="B21" s="204" t="s">
        <v>255</v>
      </c>
      <c r="C21" s="204"/>
      <c r="D21" s="210" t="s">
        <v>225</v>
      </c>
      <c r="E21" s="305">
        <v>459</v>
      </c>
      <c r="F21" s="214">
        <v>760</v>
      </c>
      <c r="G21" s="214">
        <v>1025</v>
      </c>
    </row>
    <row r="22" spans="2:14" customFormat="1">
      <c r="B22" s="204" t="s">
        <v>256</v>
      </c>
      <c r="C22" s="204"/>
      <c r="D22" s="210" t="s">
        <v>225</v>
      </c>
      <c r="E22" s="305">
        <v>25</v>
      </c>
      <c r="F22" s="214">
        <v>16</v>
      </c>
      <c r="G22" s="214">
        <v>11</v>
      </c>
    </row>
    <row r="23" spans="2:14" customFormat="1"/>
    <row r="24" spans="2:14" customFormat="1">
      <c r="B24" s="127" t="s">
        <v>257</v>
      </c>
      <c r="C24" s="127"/>
    </row>
    <row r="25" spans="2:14">
      <c r="B25" s="25"/>
      <c r="C25" s="25"/>
      <c r="D25" s="25"/>
      <c r="E25" s="25"/>
      <c r="F25" s="25"/>
      <c r="G25" s="25"/>
      <c r="H25" s="25"/>
      <c r="I25" s="25"/>
      <c r="J25" s="25"/>
      <c r="K25" s="25"/>
      <c r="L25" s="25"/>
      <c r="M25" s="25"/>
      <c r="N25" s="25"/>
    </row>
    <row r="26" spans="2:14">
      <c r="B26" s="137" t="s">
        <v>258</v>
      </c>
      <c r="C26" s="137"/>
      <c r="D26" s="407" t="s">
        <v>259</v>
      </c>
      <c r="E26" s="407"/>
      <c r="F26"/>
      <c r="G26"/>
      <c r="H26"/>
      <c r="I26"/>
      <c r="J26"/>
      <c r="K26"/>
      <c r="L26"/>
      <c r="M26"/>
      <c r="N26"/>
    </row>
    <row r="27" spans="2:14">
      <c r="B27" s="155" t="s">
        <v>260</v>
      </c>
      <c r="C27" s="155" t="s">
        <v>234</v>
      </c>
      <c r="D27" s="223" t="s">
        <v>261</v>
      </c>
      <c r="E27" s="224" t="s">
        <v>262</v>
      </c>
      <c r="F27"/>
      <c r="G27"/>
      <c r="H27"/>
      <c r="I27"/>
      <c r="J27"/>
      <c r="K27"/>
      <c r="L27"/>
      <c r="M27"/>
      <c r="N27"/>
    </row>
    <row r="28" spans="2:14">
      <c r="B28" s="105" t="s">
        <v>263</v>
      </c>
      <c r="C28" s="95" t="s">
        <v>264</v>
      </c>
      <c r="D28" s="217">
        <v>2</v>
      </c>
      <c r="E28" s="218">
        <v>3</v>
      </c>
      <c r="F28"/>
      <c r="G28"/>
      <c r="H28"/>
      <c r="I28"/>
      <c r="J28"/>
      <c r="K28"/>
      <c r="L28"/>
      <c r="M28"/>
      <c r="N28"/>
    </row>
    <row r="29" spans="2:14">
      <c r="B29" s="105" t="s">
        <v>263</v>
      </c>
      <c r="C29" s="95" t="s">
        <v>265</v>
      </c>
      <c r="D29" s="215">
        <v>0.4</v>
      </c>
      <c r="E29" s="216">
        <f>E28/(E28+D28)</f>
        <v>0.6</v>
      </c>
      <c r="F29"/>
      <c r="G29"/>
      <c r="H29"/>
      <c r="I29"/>
      <c r="J29"/>
      <c r="K29"/>
      <c r="L29"/>
      <c r="M29"/>
      <c r="N29"/>
    </row>
    <row r="30" spans="2:14">
      <c r="B30" s="105" t="s">
        <v>266</v>
      </c>
      <c r="C30" s="95" t="s">
        <v>264</v>
      </c>
      <c r="D30" s="217">
        <v>2</v>
      </c>
      <c r="E30" s="218">
        <v>11</v>
      </c>
      <c r="F30"/>
      <c r="G30"/>
      <c r="H30"/>
      <c r="I30"/>
      <c r="J30"/>
      <c r="K30"/>
      <c r="L30" s="316"/>
      <c r="M30"/>
      <c r="N30"/>
    </row>
    <row r="31" spans="2:14">
      <c r="B31" s="105" t="s">
        <v>267</v>
      </c>
      <c r="C31" s="95" t="s">
        <v>265</v>
      </c>
      <c r="D31" s="215">
        <v>0.15</v>
      </c>
      <c r="E31" s="216">
        <v>0.85</v>
      </c>
      <c r="F31"/>
      <c r="G31"/>
      <c r="H31"/>
      <c r="I31"/>
      <c r="J31"/>
      <c r="K31" s="315"/>
      <c r="L31" s="315"/>
      <c r="M31"/>
      <c r="N31"/>
    </row>
    <row r="32" spans="2:14">
      <c r="B32" s="105" t="s">
        <v>268</v>
      </c>
      <c r="C32" s="95" t="s">
        <v>264</v>
      </c>
      <c r="D32" s="217">
        <v>6</v>
      </c>
      <c r="E32" s="218">
        <v>17</v>
      </c>
      <c r="F32"/>
      <c r="G32"/>
      <c r="H32"/>
      <c r="I32"/>
      <c r="J32"/>
      <c r="K32"/>
      <c r="L32"/>
      <c r="M32"/>
      <c r="N32"/>
    </row>
    <row r="33" spans="2:14">
      <c r="B33" s="105" t="s">
        <v>269</v>
      </c>
      <c r="C33" s="95" t="s">
        <v>265</v>
      </c>
      <c r="D33" s="215">
        <v>0.26</v>
      </c>
      <c r="E33" s="216">
        <v>0.74</v>
      </c>
      <c r="F33"/>
      <c r="G33"/>
      <c r="H33"/>
      <c r="I33"/>
      <c r="J33"/>
      <c r="K33"/>
      <c r="L33"/>
      <c r="M33"/>
      <c r="N33"/>
    </row>
    <row r="34" spans="2:14">
      <c r="B34" s="105" t="s">
        <v>270</v>
      </c>
      <c r="C34" s="95" t="s">
        <v>264</v>
      </c>
      <c r="D34" s="217">
        <v>11</v>
      </c>
      <c r="E34" s="218">
        <v>51</v>
      </c>
      <c r="F34"/>
      <c r="G34"/>
      <c r="H34"/>
      <c r="I34"/>
      <c r="J34"/>
      <c r="K34"/>
      <c r="L34"/>
      <c r="M34"/>
      <c r="N34"/>
    </row>
    <row r="35" spans="2:14">
      <c r="B35" s="105" t="s">
        <v>271</v>
      </c>
      <c r="C35" s="95" t="s">
        <v>265</v>
      </c>
      <c r="D35" s="215">
        <v>0.18</v>
      </c>
      <c r="E35" s="216">
        <v>0.82</v>
      </c>
      <c r="F35"/>
      <c r="G35"/>
      <c r="H35"/>
      <c r="I35"/>
      <c r="J35"/>
      <c r="K35"/>
      <c r="L35"/>
      <c r="M35"/>
      <c r="N35"/>
    </row>
    <row r="36" spans="2:14">
      <c r="B36" s="105" t="s">
        <v>272</v>
      </c>
      <c r="C36" s="95" t="s">
        <v>264</v>
      </c>
      <c r="D36" s="217">
        <v>15</v>
      </c>
      <c r="E36" s="218">
        <v>39</v>
      </c>
      <c r="F36"/>
      <c r="G36"/>
      <c r="H36"/>
      <c r="I36"/>
      <c r="J36"/>
      <c r="K36"/>
      <c r="L36"/>
      <c r="M36"/>
      <c r="N36"/>
    </row>
    <row r="37" spans="2:14">
      <c r="B37" s="105" t="s">
        <v>272</v>
      </c>
      <c r="C37" s="95" t="s">
        <v>265</v>
      </c>
      <c r="D37" s="215">
        <v>0.28000000000000003</v>
      </c>
      <c r="E37" s="216">
        <v>0.72</v>
      </c>
      <c r="F37"/>
      <c r="G37"/>
      <c r="H37"/>
      <c r="I37"/>
      <c r="J37"/>
      <c r="K37"/>
      <c r="L37"/>
      <c r="M37"/>
      <c r="N37"/>
    </row>
    <row r="38" spans="2:14">
      <c r="B38" s="105" t="s">
        <v>273</v>
      </c>
      <c r="C38" s="95" t="s">
        <v>264</v>
      </c>
      <c r="D38" s="217">
        <v>0</v>
      </c>
      <c r="E38" s="218">
        <v>21</v>
      </c>
      <c r="F38"/>
      <c r="G38"/>
      <c r="H38"/>
      <c r="I38"/>
      <c r="J38"/>
      <c r="K38"/>
      <c r="L38"/>
      <c r="M38"/>
      <c r="N38"/>
    </row>
    <row r="39" spans="2:14">
      <c r="B39" s="105" t="s">
        <v>273</v>
      </c>
      <c r="C39" s="95" t="s">
        <v>265</v>
      </c>
      <c r="D39" s="215">
        <v>0</v>
      </c>
      <c r="E39" s="216">
        <v>1</v>
      </c>
      <c r="F39"/>
      <c r="G39"/>
      <c r="H39"/>
      <c r="I39"/>
      <c r="J39"/>
      <c r="K39"/>
      <c r="L39"/>
      <c r="M39"/>
      <c r="N39"/>
    </row>
    <row r="40" spans="2:14">
      <c r="B40" s="105" t="s">
        <v>274</v>
      </c>
      <c r="C40" s="95" t="s">
        <v>264</v>
      </c>
      <c r="D40" s="217">
        <v>10</v>
      </c>
      <c r="E40" s="218">
        <v>46</v>
      </c>
      <c r="F40"/>
      <c r="G40"/>
      <c r="H40"/>
      <c r="I40"/>
      <c r="J40"/>
      <c r="K40"/>
      <c r="L40"/>
      <c r="M40"/>
      <c r="N40"/>
    </row>
    <row r="41" spans="2:14">
      <c r="B41" s="105" t="s">
        <v>274</v>
      </c>
      <c r="C41" s="95" t="s">
        <v>265</v>
      </c>
      <c r="D41" s="215">
        <v>0.18</v>
      </c>
      <c r="E41" s="216">
        <v>0.82</v>
      </c>
      <c r="F41"/>
      <c r="G41"/>
      <c r="H41"/>
      <c r="I41"/>
      <c r="J41"/>
      <c r="K41"/>
      <c r="L41"/>
      <c r="M41"/>
      <c r="N41"/>
    </row>
    <row r="42" spans="2:14">
      <c r="B42" s="105" t="s">
        <v>275</v>
      </c>
      <c r="C42" s="95" t="s">
        <v>264</v>
      </c>
      <c r="D42" s="217">
        <v>14</v>
      </c>
      <c r="E42" s="218">
        <v>0</v>
      </c>
      <c r="F42"/>
      <c r="G42"/>
      <c r="H42"/>
      <c r="I42"/>
      <c r="J42"/>
      <c r="K42"/>
      <c r="L42"/>
      <c r="M42"/>
      <c r="N42"/>
    </row>
    <row r="43" spans="2:14">
      <c r="B43" s="105" t="s">
        <v>275</v>
      </c>
      <c r="C43" s="95" t="s">
        <v>265</v>
      </c>
      <c r="D43" s="215">
        <v>1</v>
      </c>
      <c r="E43" s="216">
        <v>0</v>
      </c>
      <c r="F43"/>
      <c r="G43"/>
      <c r="H43"/>
      <c r="I43"/>
      <c r="J43"/>
      <c r="K43"/>
      <c r="L43"/>
      <c r="M43"/>
      <c r="N43"/>
    </row>
    <row r="44" spans="2:14">
      <c r="B44" s="105" t="s">
        <v>276</v>
      </c>
      <c r="C44" s="95" t="s">
        <v>264</v>
      </c>
      <c r="D44" s="217">
        <v>0</v>
      </c>
      <c r="E44" s="218">
        <v>4</v>
      </c>
      <c r="F44"/>
      <c r="G44"/>
      <c r="H44"/>
      <c r="I44"/>
      <c r="J44"/>
      <c r="K44"/>
      <c r="L44"/>
      <c r="M44"/>
      <c r="N44"/>
    </row>
    <row r="45" spans="2:14">
      <c r="B45" s="105" t="s">
        <v>277</v>
      </c>
      <c r="C45" s="95" t="s">
        <v>265</v>
      </c>
      <c r="D45" s="215">
        <v>0</v>
      </c>
      <c r="E45" s="216">
        <v>1</v>
      </c>
      <c r="F45"/>
      <c r="G45"/>
      <c r="H45"/>
      <c r="I45"/>
      <c r="J45"/>
      <c r="K45"/>
      <c r="L45"/>
      <c r="M45"/>
      <c r="N45"/>
    </row>
    <row r="46" spans="2:14">
      <c r="B46" s="105" t="s">
        <v>278</v>
      </c>
      <c r="C46" s="95" t="s">
        <v>264</v>
      </c>
      <c r="D46" s="217">
        <v>1</v>
      </c>
      <c r="E46" s="218">
        <v>5</v>
      </c>
      <c r="F46"/>
      <c r="G46"/>
      <c r="H46"/>
      <c r="I46"/>
      <c r="J46"/>
      <c r="K46"/>
      <c r="L46"/>
      <c r="M46"/>
      <c r="N46"/>
    </row>
    <row r="47" spans="2:14">
      <c r="B47" s="105" t="s">
        <v>278</v>
      </c>
      <c r="C47" s="95" t="s">
        <v>265</v>
      </c>
      <c r="D47" s="215">
        <v>0.17</v>
      </c>
      <c r="E47" s="216">
        <v>0.83</v>
      </c>
      <c r="F47"/>
      <c r="G47"/>
      <c r="H47"/>
      <c r="I47"/>
      <c r="J47"/>
      <c r="K47"/>
      <c r="L47"/>
      <c r="M47"/>
      <c r="N47"/>
    </row>
    <row r="48" spans="2:14">
      <c r="B48" s="35"/>
      <c r="C48" s="35"/>
      <c r="D48" s="35"/>
      <c r="E48" s="35"/>
      <c r="F48" s="35"/>
      <c r="G48" s="35"/>
      <c r="H48" s="35"/>
      <c r="I48" s="35"/>
      <c r="J48" s="35"/>
      <c r="K48" s="35"/>
      <c r="L48" s="35"/>
      <c r="M48" s="35"/>
      <c r="N48" s="24"/>
    </row>
    <row r="49" spans="2:14">
      <c r="B49" s="35"/>
      <c r="C49" s="35"/>
      <c r="D49" s="35"/>
      <c r="E49" s="35"/>
      <c r="F49" s="35"/>
      <c r="G49" s="35"/>
      <c r="H49" s="35"/>
      <c r="I49" s="35"/>
      <c r="J49" s="35"/>
      <c r="K49" s="35"/>
      <c r="L49" s="35"/>
      <c r="M49" s="35"/>
      <c r="N49" s="24"/>
    </row>
    <row r="50" spans="2:14">
      <c r="B50" s="137" t="s">
        <v>279</v>
      </c>
      <c r="C50" s="137"/>
      <c r="D50" s="414" t="s">
        <v>227</v>
      </c>
      <c r="E50" s="415"/>
      <c r="F50" s="414" t="s">
        <v>228</v>
      </c>
      <c r="G50" s="415"/>
      <c r="H50" s="414" t="s">
        <v>229</v>
      </c>
      <c r="I50" s="415"/>
      <c r="J50" s="35"/>
      <c r="K50" s="35"/>
      <c r="L50" s="35"/>
      <c r="M50" s="35"/>
      <c r="N50" s="24"/>
    </row>
    <row r="51" spans="2:14">
      <c r="B51" s="155" t="s">
        <v>260</v>
      </c>
      <c r="C51" s="155" t="s">
        <v>234</v>
      </c>
      <c r="D51" s="223" t="s">
        <v>261</v>
      </c>
      <c r="E51" s="224" t="s">
        <v>262</v>
      </c>
      <c r="F51" s="223" t="s">
        <v>261</v>
      </c>
      <c r="G51" s="224" t="s">
        <v>262</v>
      </c>
      <c r="H51" s="223" t="s">
        <v>261</v>
      </c>
      <c r="I51" s="224" t="s">
        <v>262</v>
      </c>
      <c r="J51" s="35"/>
      <c r="K51" s="35"/>
      <c r="L51" s="35"/>
      <c r="M51" s="35"/>
      <c r="N51" s="24"/>
    </row>
    <row r="52" spans="2:14">
      <c r="B52" s="105" t="s">
        <v>280</v>
      </c>
      <c r="C52" s="95" t="s">
        <v>264</v>
      </c>
      <c r="D52" s="243">
        <v>59</v>
      </c>
      <c r="E52" s="244">
        <v>194</v>
      </c>
      <c r="F52" s="219">
        <v>60</v>
      </c>
      <c r="G52" s="220">
        <v>257</v>
      </c>
      <c r="H52" s="219">
        <v>60</v>
      </c>
      <c r="I52" s="220">
        <v>265</v>
      </c>
      <c r="J52" s="35"/>
      <c r="K52" s="35"/>
      <c r="L52" s="35"/>
      <c r="M52" s="35"/>
      <c r="N52" s="24"/>
    </row>
    <row r="53" spans="2:14">
      <c r="B53" s="105"/>
      <c r="C53" s="95" t="s">
        <v>265</v>
      </c>
      <c r="D53" s="245">
        <v>0.23300000000000001</v>
      </c>
      <c r="E53" s="246">
        <v>0.76700000000000002</v>
      </c>
      <c r="F53" s="221">
        <v>0.19</v>
      </c>
      <c r="G53" s="222">
        <v>0.81</v>
      </c>
      <c r="H53" s="221">
        <v>0.18</v>
      </c>
      <c r="I53" s="222">
        <v>0.82</v>
      </c>
      <c r="J53" s="35"/>
      <c r="K53" s="35"/>
      <c r="L53" s="35"/>
      <c r="M53" s="35"/>
      <c r="N53" s="24"/>
    </row>
    <row r="54" spans="2:14">
      <c r="B54" s="35"/>
      <c r="C54" s="35"/>
      <c r="D54" s="35"/>
      <c r="E54" s="35"/>
      <c r="F54" s="35"/>
      <c r="G54" s="35"/>
      <c r="H54" s="35"/>
      <c r="I54" s="35"/>
      <c r="J54" s="35"/>
      <c r="K54" s="35"/>
      <c r="L54" s="35"/>
      <c r="M54" s="35"/>
      <c r="N54" s="24"/>
    </row>
    <row r="55" spans="2:14">
      <c r="B55" s="35"/>
      <c r="C55" s="35"/>
      <c r="D55" s="35"/>
      <c r="E55" s="35"/>
      <c r="F55" s="35"/>
      <c r="G55" s="35"/>
      <c r="H55" s="35"/>
      <c r="I55" s="35"/>
      <c r="J55" s="35"/>
      <c r="K55" s="35"/>
      <c r="L55" s="35"/>
      <c r="M55" s="35"/>
      <c r="N55" s="24"/>
    </row>
    <row r="56" spans="2:14">
      <c r="B56" s="137" t="s">
        <v>281</v>
      </c>
      <c r="C56" s="137"/>
      <c r="D56" s="414" t="s">
        <v>282</v>
      </c>
      <c r="E56" s="415"/>
      <c r="F56" s="414" t="s">
        <v>283</v>
      </c>
      <c r="G56" s="415"/>
      <c r="H56" s="414" t="s">
        <v>284</v>
      </c>
      <c r="I56" s="415"/>
      <c r="J56" s="35"/>
      <c r="K56" s="35"/>
      <c r="L56" s="35"/>
      <c r="M56" s="35"/>
      <c r="N56" s="24"/>
    </row>
    <row r="57" spans="2:14">
      <c r="B57" s="155" t="s">
        <v>260</v>
      </c>
      <c r="C57" s="155" t="s">
        <v>234</v>
      </c>
      <c r="D57" s="223" t="s">
        <v>108</v>
      </c>
      <c r="E57" s="224" t="s">
        <v>109</v>
      </c>
      <c r="F57" s="223" t="s">
        <v>108</v>
      </c>
      <c r="G57" s="224" t="s">
        <v>109</v>
      </c>
      <c r="H57" s="223" t="s">
        <v>108</v>
      </c>
      <c r="I57" s="224" t="s">
        <v>109</v>
      </c>
      <c r="J57" s="35"/>
      <c r="K57" s="35"/>
      <c r="L57" s="35"/>
      <c r="M57" s="35"/>
      <c r="N57" s="24"/>
    </row>
    <row r="58" spans="2:14">
      <c r="B58" s="105" t="s">
        <v>285</v>
      </c>
      <c r="C58" s="95" t="s">
        <v>264</v>
      </c>
      <c r="D58" s="243">
        <v>74</v>
      </c>
      <c r="E58" s="218">
        <v>86</v>
      </c>
      <c r="F58" s="243">
        <v>145</v>
      </c>
      <c r="G58" s="218">
        <v>170</v>
      </c>
      <c r="H58" s="243">
        <v>34</v>
      </c>
      <c r="I58" s="226">
        <v>56</v>
      </c>
      <c r="J58" s="35"/>
      <c r="K58" s="35"/>
      <c r="L58" s="35"/>
      <c r="M58" s="35"/>
      <c r="N58" s="24"/>
    </row>
    <row r="59" spans="2:14">
      <c r="B59" s="35"/>
      <c r="C59" s="35"/>
      <c r="D59" s="35"/>
      <c r="E59" s="35"/>
      <c r="F59" s="35"/>
      <c r="G59" s="35"/>
      <c r="H59" s="35"/>
      <c r="I59" s="35"/>
      <c r="J59" s="35"/>
      <c r="K59" s="35"/>
      <c r="L59" s="35"/>
      <c r="M59" s="35"/>
      <c r="N59" s="24"/>
    </row>
    <row r="60" spans="2:14">
      <c r="B60" s="27"/>
      <c r="C60" s="27"/>
      <c r="D60" s="27"/>
      <c r="E60" s="28"/>
      <c r="F60" s="28"/>
      <c r="G60" s="26"/>
      <c r="H60" s="26"/>
      <c r="I60" s="11"/>
      <c r="J60" s="11"/>
      <c r="L60" s="11"/>
      <c r="M60" s="11"/>
      <c r="N60" s="11"/>
    </row>
    <row r="61" spans="2:14" customFormat="1">
      <c r="B61" s="137" t="s">
        <v>286</v>
      </c>
      <c r="C61" s="137"/>
    </row>
    <row r="62" spans="2:14" customFormat="1">
      <c r="B62" s="155" t="s">
        <v>260</v>
      </c>
      <c r="C62" s="155" t="s">
        <v>234</v>
      </c>
      <c r="D62" s="223" t="s">
        <v>108</v>
      </c>
      <c r="E62" s="224" t="s">
        <v>109</v>
      </c>
      <c r="F62" s="223" t="s">
        <v>141</v>
      </c>
    </row>
    <row r="63" spans="2:14" customFormat="1">
      <c r="B63" s="105" t="s">
        <v>287</v>
      </c>
      <c r="C63" s="95" t="s">
        <v>264</v>
      </c>
      <c r="D63" s="243">
        <v>54</v>
      </c>
      <c r="E63" s="227">
        <v>98</v>
      </c>
      <c r="F63" s="227">
        <v>94</v>
      </c>
    </row>
    <row r="64" spans="2:14" customFormat="1">
      <c r="B64" s="412" t="s">
        <v>288</v>
      </c>
      <c r="C64" s="95" t="s">
        <v>264</v>
      </c>
      <c r="D64" s="306">
        <v>60</v>
      </c>
      <c r="E64" s="229">
        <v>32</v>
      </c>
      <c r="F64" s="229">
        <v>35</v>
      </c>
    </row>
    <row r="65" spans="2:8" customFormat="1">
      <c r="B65" s="413"/>
      <c r="C65" s="95" t="s">
        <v>265</v>
      </c>
      <c r="D65" s="245">
        <v>0.52600000000000002</v>
      </c>
      <c r="E65" s="228">
        <v>0.33</v>
      </c>
      <c r="F65" s="228">
        <v>0.27</v>
      </c>
    </row>
    <row r="66" spans="2:8" customFormat="1"/>
    <row r="67" spans="2:8" customFormat="1">
      <c r="B67" s="137" t="s">
        <v>289</v>
      </c>
      <c r="C67" s="137"/>
    </row>
    <row r="68" spans="2:8" customFormat="1">
      <c r="B68" s="155" t="s">
        <v>260</v>
      </c>
      <c r="C68" s="223" t="s">
        <v>108</v>
      </c>
    </row>
    <row r="69" spans="2:8" customFormat="1">
      <c r="B69" s="105" t="s">
        <v>266</v>
      </c>
      <c r="C69" s="243">
        <v>2</v>
      </c>
    </row>
    <row r="70" spans="2:8" customFormat="1">
      <c r="B70" s="105" t="s">
        <v>268</v>
      </c>
      <c r="C70" s="243">
        <v>2</v>
      </c>
    </row>
    <row r="71" spans="2:8" customFormat="1">
      <c r="B71" s="105" t="s">
        <v>271</v>
      </c>
      <c r="C71" s="243">
        <v>8</v>
      </c>
    </row>
    <row r="72" spans="2:8" customFormat="1">
      <c r="B72" s="105" t="s">
        <v>290</v>
      </c>
      <c r="C72" s="243">
        <v>6</v>
      </c>
    </row>
    <row r="73" spans="2:8" customFormat="1">
      <c r="B73" s="105" t="s">
        <v>273</v>
      </c>
      <c r="C73" s="243">
        <v>5</v>
      </c>
    </row>
    <row r="74" spans="2:8" customFormat="1">
      <c r="B74" s="105" t="s">
        <v>274</v>
      </c>
      <c r="C74" s="243">
        <v>21</v>
      </c>
    </row>
    <row r="75" spans="2:8" customFormat="1">
      <c r="B75" s="105" t="s">
        <v>275</v>
      </c>
      <c r="C75" s="243">
        <v>8</v>
      </c>
    </row>
    <row r="76" spans="2:8" customFormat="1">
      <c r="B76" s="105" t="s">
        <v>276</v>
      </c>
      <c r="C76" s="307">
        <v>2</v>
      </c>
    </row>
    <row r="77" spans="2:8" customFormat="1"/>
    <row r="78" spans="2:8" customFormat="1"/>
    <row r="79" spans="2:8" customFormat="1">
      <c r="B79" s="137" t="s">
        <v>291</v>
      </c>
      <c r="C79" s="414" t="s">
        <v>282</v>
      </c>
      <c r="D79" s="415"/>
      <c r="E79" s="414" t="s">
        <v>283</v>
      </c>
      <c r="F79" s="415"/>
      <c r="G79" s="414" t="s">
        <v>284</v>
      </c>
      <c r="H79" s="415"/>
    </row>
    <row r="80" spans="2:8" customFormat="1">
      <c r="B80" s="155" t="s">
        <v>260</v>
      </c>
      <c r="C80" s="223" t="s">
        <v>108</v>
      </c>
      <c r="D80" s="224" t="s">
        <v>109</v>
      </c>
      <c r="E80" s="223" t="s">
        <v>108</v>
      </c>
      <c r="F80" s="224" t="s">
        <v>109</v>
      </c>
      <c r="G80" s="223" t="s">
        <v>108</v>
      </c>
      <c r="H80" s="224" t="s">
        <v>109</v>
      </c>
    </row>
    <row r="81" spans="2:8" customFormat="1">
      <c r="B81" s="105" t="s">
        <v>225</v>
      </c>
      <c r="C81" s="243">
        <v>22</v>
      </c>
      <c r="D81" s="218">
        <v>37</v>
      </c>
      <c r="E81" s="243">
        <v>25</v>
      </c>
      <c r="F81" s="218">
        <v>42</v>
      </c>
      <c r="G81" s="243">
        <v>7</v>
      </c>
      <c r="H81" s="226">
        <v>19</v>
      </c>
    </row>
    <row r="82" spans="2:8" customFormat="1"/>
    <row r="83" spans="2:8" customFormat="1">
      <c r="B83" s="137" t="s">
        <v>292</v>
      </c>
      <c r="C83" s="414" t="s">
        <v>227</v>
      </c>
      <c r="D83" s="415"/>
      <c r="E83" s="414" t="s">
        <v>228</v>
      </c>
      <c r="F83" s="415"/>
      <c r="G83" s="414" t="s">
        <v>229</v>
      </c>
      <c r="H83" s="415"/>
    </row>
    <row r="84" spans="2:8" customFormat="1">
      <c r="B84" s="155" t="s">
        <v>260</v>
      </c>
      <c r="C84" s="223" t="s">
        <v>261</v>
      </c>
      <c r="D84" s="224" t="s">
        <v>262</v>
      </c>
      <c r="E84" s="223" t="s">
        <v>261</v>
      </c>
      <c r="F84" s="224" t="s">
        <v>262</v>
      </c>
      <c r="G84" s="223" t="s">
        <v>261</v>
      </c>
      <c r="H84" s="224" t="s">
        <v>262</v>
      </c>
    </row>
    <row r="85" spans="2:8" customFormat="1">
      <c r="B85" s="105" t="s">
        <v>225</v>
      </c>
      <c r="C85" s="243">
        <v>16</v>
      </c>
      <c r="D85" s="244">
        <v>38</v>
      </c>
      <c r="E85" s="217">
        <v>26</v>
      </c>
      <c r="F85" s="218">
        <v>72</v>
      </c>
      <c r="G85" s="225">
        <v>23</v>
      </c>
      <c r="H85" s="226">
        <v>71</v>
      </c>
    </row>
    <row r="86" spans="2:8" customFormat="1"/>
    <row r="87" spans="2:8" customFormat="1"/>
    <row r="88" spans="2:8" customFormat="1">
      <c r="B88" s="75" t="s">
        <v>293</v>
      </c>
      <c r="C88" s="75"/>
      <c r="D88" s="416" t="s">
        <v>159</v>
      </c>
      <c r="E88" s="417"/>
      <c r="F88" s="417"/>
    </row>
    <row r="89" spans="2:8" customFormat="1">
      <c r="B89" s="155" t="s">
        <v>294</v>
      </c>
      <c r="C89" s="155" t="s">
        <v>295</v>
      </c>
      <c r="D89" s="158" t="s">
        <v>108</v>
      </c>
      <c r="E89" s="232" t="s">
        <v>109</v>
      </c>
      <c r="F89" s="158" t="s">
        <v>141</v>
      </c>
      <c r="G89" s="212"/>
    </row>
    <row r="90" spans="2:8" customFormat="1">
      <c r="B90" s="105" t="s">
        <v>296</v>
      </c>
      <c r="C90" s="95" t="s">
        <v>185</v>
      </c>
      <c r="D90" s="308">
        <v>0.11</v>
      </c>
      <c r="E90" s="230">
        <v>0.17</v>
      </c>
      <c r="F90" s="231">
        <v>0.2</v>
      </c>
    </row>
    <row r="91" spans="2:8" customFormat="1" ht="15" thickBot="1">
      <c r="B91" s="107" t="s">
        <v>297</v>
      </c>
      <c r="C91" s="107" t="s">
        <v>185</v>
      </c>
      <c r="D91" s="309">
        <v>0.37</v>
      </c>
      <c r="E91" s="121">
        <v>0.27</v>
      </c>
      <c r="F91" s="145">
        <v>0.31</v>
      </c>
    </row>
    <row r="92" spans="2:8" customFormat="1">
      <c r="C92" s="112"/>
      <c r="D92" s="100"/>
      <c r="E92" s="100"/>
      <c r="F92" s="100"/>
    </row>
    <row r="93" spans="2:8" customFormat="1"/>
    <row r="94" spans="2:8" customFormat="1">
      <c r="B94" s="75" t="s">
        <v>298</v>
      </c>
      <c r="C94" s="75"/>
      <c r="D94" s="416" t="s">
        <v>159</v>
      </c>
      <c r="E94" s="417"/>
      <c r="F94" s="417"/>
    </row>
    <row r="95" spans="2:8" customFormat="1">
      <c r="B95" s="155" t="s">
        <v>299</v>
      </c>
      <c r="C95" s="155" t="s">
        <v>295</v>
      </c>
      <c r="D95" s="158" t="s">
        <v>108</v>
      </c>
      <c r="E95" s="232" t="s">
        <v>109</v>
      </c>
      <c r="F95" s="158" t="s">
        <v>141</v>
      </c>
    </row>
    <row r="96" spans="2:8" customFormat="1">
      <c r="B96" s="105" t="s">
        <v>300</v>
      </c>
      <c r="C96" s="105" t="s">
        <v>185</v>
      </c>
      <c r="D96" s="240">
        <v>2</v>
      </c>
      <c r="E96" s="234">
        <v>0.14000000000000001</v>
      </c>
      <c r="F96" s="234">
        <v>0.12</v>
      </c>
    </row>
    <row r="97" spans="2:7" customFormat="1">
      <c r="B97" s="105" t="s">
        <v>301</v>
      </c>
      <c r="C97" s="95" t="s">
        <v>225</v>
      </c>
      <c r="D97" s="241">
        <v>0</v>
      </c>
      <c r="E97" s="159">
        <v>0</v>
      </c>
      <c r="F97" s="159">
        <v>0</v>
      </c>
    </row>
    <row r="98" spans="2:7" customFormat="1">
      <c r="B98" s="105"/>
      <c r="C98" s="95" t="s">
        <v>302</v>
      </c>
      <c r="D98" s="241">
        <v>0</v>
      </c>
      <c r="E98" s="159">
        <v>0</v>
      </c>
      <c r="F98" s="159">
        <v>0</v>
      </c>
    </row>
    <row r="99" spans="2:7" customFormat="1">
      <c r="B99" s="105" t="s">
        <v>303</v>
      </c>
      <c r="C99" s="95" t="s">
        <v>225</v>
      </c>
      <c r="D99" s="241">
        <v>2</v>
      </c>
      <c r="E99" s="235">
        <v>3</v>
      </c>
      <c r="F99" s="235">
        <v>3</v>
      </c>
    </row>
    <row r="100" spans="2:7" customFormat="1">
      <c r="B100" s="143"/>
      <c r="C100" s="143" t="s">
        <v>185</v>
      </c>
      <c r="D100" s="310">
        <v>0.01</v>
      </c>
      <c r="E100" s="236">
        <v>0.01</v>
      </c>
      <c r="F100" s="239">
        <v>1.2E-2</v>
      </c>
    </row>
    <row r="101" spans="2:7" customFormat="1">
      <c r="B101" s="105" t="s">
        <v>304</v>
      </c>
      <c r="C101" s="105" t="s">
        <v>225</v>
      </c>
      <c r="D101" s="240">
        <v>6</v>
      </c>
      <c r="E101" s="237">
        <v>20</v>
      </c>
      <c r="F101" s="237">
        <v>27</v>
      </c>
    </row>
    <row r="102" spans="2:7" customFormat="1" ht="15" thickBot="1">
      <c r="B102" s="107"/>
      <c r="C102" s="107" t="s">
        <v>185</v>
      </c>
      <c r="D102" s="242">
        <v>2.4E-2</v>
      </c>
      <c r="E102" s="238">
        <v>6.4000000000000001E-2</v>
      </c>
      <c r="F102" s="238">
        <v>0.11600000000000001</v>
      </c>
    </row>
    <row r="103" spans="2:7" customFormat="1"/>
    <row r="104" spans="2:7" customFormat="1">
      <c r="B104" s="202" t="s">
        <v>305</v>
      </c>
    </row>
    <row r="105" spans="2:7" customFormat="1"/>
    <row r="106" spans="2:7" customFormat="1">
      <c r="B106" s="75" t="s">
        <v>306</v>
      </c>
      <c r="C106" s="75"/>
      <c r="D106" s="414" t="s">
        <v>227</v>
      </c>
      <c r="E106" s="415"/>
      <c r="F106" s="414" t="s">
        <v>228</v>
      </c>
      <c r="G106" s="415"/>
    </row>
    <row r="107" spans="2:7" customFormat="1">
      <c r="B107" s="155" t="s">
        <v>43</v>
      </c>
      <c r="C107" s="155" t="s">
        <v>295</v>
      </c>
      <c r="D107" s="223" t="s">
        <v>261</v>
      </c>
      <c r="E107" s="224" t="s">
        <v>262</v>
      </c>
      <c r="F107" s="223" t="s">
        <v>261</v>
      </c>
      <c r="G107" s="224" t="s">
        <v>262</v>
      </c>
    </row>
    <row r="108" spans="2:7" customFormat="1">
      <c r="B108" s="105" t="s">
        <v>307</v>
      </c>
      <c r="C108" s="95" t="s">
        <v>225</v>
      </c>
      <c r="D108" s="243">
        <v>59</v>
      </c>
      <c r="E108" s="244">
        <v>194</v>
      </c>
      <c r="F108" s="217">
        <v>51</v>
      </c>
      <c r="G108" s="218">
        <v>231</v>
      </c>
    </row>
    <row r="109" spans="2:7" customFormat="1">
      <c r="B109" s="105" t="s">
        <v>308</v>
      </c>
      <c r="C109" s="95" t="s">
        <v>225</v>
      </c>
      <c r="D109" s="243">
        <v>2</v>
      </c>
      <c r="E109" s="244">
        <v>6</v>
      </c>
      <c r="F109" s="217">
        <v>1</v>
      </c>
      <c r="G109" s="218">
        <v>7</v>
      </c>
    </row>
    <row r="110" spans="2:7" customFormat="1">
      <c r="B110" s="105" t="s">
        <v>309</v>
      </c>
      <c r="C110" s="95" t="s">
        <v>225</v>
      </c>
      <c r="D110" s="243">
        <v>0</v>
      </c>
      <c r="E110" s="244">
        <v>6</v>
      </c>
      <c r="F110" s="217">
        <v>1</v>
      </c>
      <c r="G110" s="218">
        <v>8</v>
      </c>
    </row>
    <row r="111" spans="2:7" customFormat="1">
      <c r="B111" s="105" t="s">
        <v>310</v>
      </c>
      <c r="C111" s="95" t="s">
        <v>236</v>
      </c>
      <c r="D111" s="243">
        <v>100</v>
      </c>
      <c r="E111" s="244">
        <v>100</v>
      </c>
      <c r="F111" s="250">
        <v>1</v>
      </c>
      <c r="G111" s="251">
        <v>1</v>
      </c>
    </row>
    <row r="112" spans="2:7" customFormat="1" ht="19">
      <c r="B112" s="143" t="s">
        <v>311</v>
      </c>
      <c r="C112" s="105" t="s">
        <v>225</v>
      </c>
      <c r="D112" s="243">
        <v>0</v>
      </c>
      <c r="E112" s="244">
        <v>6</v>
      </c>
      <c r="F112" s="217">
        <v>1</v>
      </c>
      <c r="G112" s="218">
        <v>6</v>
      </c>
    </row>
    <row r="113" spans="2:9" customFormat="1" ht="15" thickBot="1">
      <c r="B113" s="252" t="s">
        <v>312</v>
      </c>
      <c r="C113" s="107" t="s">
        <v>236</v>
      </c>
      <c r="D113" s="311">
        <v>1</v>
      </c>
      <c r="E113" s="312">
        <v>1</v>
      </c>
      <c r="F113" s="253">
        <v>1</v>
      </c>
      <c r="G113" s="254">
        <v>1</v>
      </c>
    </row>
    <row r="114" spans="2:9" customFormat="1"/>
    <row r="115" spans="2:9">
      <c r="D115" s="55"/>
      <c r="E115" s="56"/>
      <c r="F115" s="56"/>
      <c r="G115" s="26"/>
    </row>
    <row r="116" spans="2:9">
      <c r="B116" s="75" t="s">
        <v>313</v>
      </c>
      <c r="C116" s="75"/>
      <c r="E116" s="409"/>
      <c r="F116" s="409"/>
      <c r="G116" s="409"/>
    </row>
    <row r="117" spans="2:9">
      <c r="B117" s="155" t="s">
        <v>314</v>
      </c>
      <c r="C117" s="165"/>
      <c r="D117" s="158" t="s">
        <v>108</v>
      </c>
      <c r="E117" s="232" t="s">
        <v>109</v>
      </c>
      <c r="F117"/>
      <c r="G117"/>
    </row>
    <row r="118" spans="2:9">
      <c r="B118" s="103" t="s">
        <v>314</v>
      </c>
      <c r="C118" s="103"/>
      <c r="D118" s="255">
        <v>70</v>
      </c>
      <c r="E118" s="256">
        <v>55</v>
      </c>
      <c r="F118"/>
      <c r="G118"/>
    </row>
    <row r="120" spans="2:9">
      <c r="B120" s="75"/>
      <c r="C120" s="75"/>
    </row>
    <row r="121" spans="2:9">
      <c r="B121" s="155" t="s">
        <v>315</v>
      </c>
      <c r="C121" s="165" t="s">
        <v>316</v>
      </c>
      <c r="D121" s="158" t="s">
        <v>108</v>
      </c>
      <c r="E121" s="232" t="s">
        <v>109</v>
      </c>
      <c r="F121"/>
      <c r="G121"/>
      <c r="H121"/>
      <c r="I121"/>
    </row>
    <row r="122" spans="2:9">
      <c r="B122" s="120" t="s">
        <v>317</v>
      </c>
      <c r="C122" s="120" t="s">
        <v>225</v>
      </c>
      <c r="D122" s="257">
        <v>300</v>
      </c>
      <c r="E122" s="82" t="s">
        <v>204</v>
      </c>
      <c r="F122"/>
      <c r="G122"/>
      <c r="H122" t="s">
        <v>318</v>
      </c>
      <c r="I122"/>
    </row>
    <row r="123" spans="2:9">
      <c r="B123" s="95" t="s">
        <v>319</v>
      </c>
      <c r="C123" s="95" t="s">
        <v>265</v>
      </c>
      <c r="D123" s="257">
        <v>61</v>
      </c>
      <c r="E123" s="82" t="s">
        <v>204</v>
      </c>
      <c r="F123"/>
      <c r="G123"/>
      <c r="H123"/>
      <c r="I123"/>
    </row>
    <row r="124" spans="2:9" ht="15" thickBot="1">
      <c r="B124" s="105" t="s">
        <v>320</v>
      </c>
      <c r="C124" s="95" t="s">
        <v>265</v>
      </c>
      <c r="D124" s="257">
        <v>100</v>
      </c>
      <c r="E124" s="82" t="s">
        <v>204</v>
      </c>
      <c r="F124"/>
      <c r="G124"/>
      <c r="H124"/>
      <c r="I124"/>
    </row>
    <row r="125" spans="2:9" ht="22.4" customHeight="1">
      <c r="B125" s="410" t="s">
        <v>321</v>
      </c>
      <c r="C125" s="410"/>
      <c r="D125" s="410"/>
      <c r="E125" s="410"/>
      <c r="F125" s="411"/>
      <c r="G125" s="411"/>
      <c r="H125" s="411"/>
      <c r="I125" s="411"/>
    </row>
    <row r="126" spans="2:9">
      <c r="B126" s="122"/>
      <c r="C126" s="122"/>
      <c r="D126" s="122"/>
      <c r="E126" s="123"/>
      <c r="F126" s="123"/>
      <c r="G126" s="123"/>
      <c r="H126" s="100"/>
    </row>
    <row r="127" spans="2:9">
      <c r="B127" s="155" t="s">
        <v>322</v>
      </c>
      <c r="C127" s="165" t="s">
        <v>316</v>
      </c>
      <c r="D127" s="158" t="s">
        <v>108</v>
      </c>
      <c r="E127" s="232" t="s">
        <v>109</v>
      </c>
      <c r="F127" s="43"/>
      <c r="G127" s="43"/>
    </row>
    <row r="128" spans="2:9" customFormat="1">
      <c r="B128" s="120" t="s">
        <v>323</v>
      </c>
      <c r="C128" s="120" t="s">
        <v>324</v>
      </c>
      <c r="D128" s="313">
        <v>3</v>
      </c>
      <c r="E128" s="260" t="s">
        <v>325</v>
      </c>
    </row>
    <row r="129" spans="2:7" customFormat="1" ht="22.4" customHeight="1" thickBot="1">
      <c r="B129" s="96" t="s">
        <v>326</v>
      </c>
      <c r="C129" s="258" t="s">
        <v>324</v>
      </c>
      <c r="D129" s="314">
        <v>4</v>
      </c>
      <c r="E129" s="261" t="s">
        <v>327</v>
      </c>
    </row>
    <row r="130" spans="2:7" customFormat="1"/>
    <row r="131" spans="2:7" customFormat="1"/>
    <row r="132" spans="2:7" customFormat="1"/>
    <row r="133" spans="2:7">
      <c r="B133" s="100"/>
      <c r="C133" s="100"/>
      <c r="D133" s="100"/>
      <c r="E133" s="100"/>
      <c r="F133" s="100"/>
      <c r="G133" s="100"/>
    </row>
    <row r="134" spans="2:7">
      <c r="B134" s="100"/>
      <c r="C134" s="100"/>
      <c r="D134" s="100"/>
      <c r="E134" s="100"/>
      <c r="F134" s="100"/>
      <c r="G134" s="100"/>
    </row>
    <row r="135" spans="2:7">
      <c r="B135" s="100"/>
      <c r="C135" s="100"/>
      <c r="D135" s="100"/>
      <c r="E135" s="100"/>
      <c r="F135" s="100"/>
      <c r="G135" s="100"/>
    </row>
    <row r="136" spans="2:7">
      <c r="B136" s="100"/>
      <c r="C136" s="100"/>
      <c r="D136" s="100"/>
      <c r="E136" s="100"/>
      <c r="F136" s="100"/>
      <c r="G136" s="100"/>
    </row>
  </sheetData>
  <sheetProtection algorithmName="SHA-512" hashValue="GiUJSHB4HKvodWnTxwd0Sd6uLfh2VEKnOaNBe2TEkXwdqF18Apn2XR/vCTJcpaDVZdUwO2OOvqNy3IO/MeAxtA==" saltValue="2NKWeXgw1k6LfWgVUcQA8g==" spinCount="100000" sheet="1" objects="1" scenarios="1"/>
  <mergeCells count="21">
    <mergeCell ref="E79:F79"/>
    <mergeCell ref="G79:H79"/>
    <mergeCell ref="C83:D83"/>
    <mergeCell ref="E83:F83"/>
    <mergeCell ref="G83:H83"/>
    <mergeCell ref="D26:E26"/>
    <mergeCell ref="E14:G14"/>
    <mergeCell ref="E116:G116"/>
    <mergeCell ref="B125:I125"/>
    <mergeCell ref="B64:B65"/>
    <mergeCell ref="D50:E50"/>
    <mergeCell ref="F50:G50"/>
    <mergeCell ref="H50:I50"/>
    <mergeCell ref="D56:E56"/>
    <mergeCell ref="F56:G56"/>
    <mergeCell ref="H56:I56"/>
    <mergeCell ref="D94:F94"/>
    <mergeCell ref="D106:E106"/>
    <mergeCell ref="F106:G106"/>
    <mergeCell ref="D88:F88"/>
    <mergeCell ref="C79:D79"/>
  </mergeCells>
  <pageMargins left="0.70866141732283472" right="0.70866141732283472" top="0.74803149606299213" bottom="0.74803149606299213" header="0.31496062992125984" footer="0.31496062992125984"/>
  <pageSetup paperSize="9" scale="68" orientation="portrait" horizontalDpi="1200" verticalDpi="1200" r:id="rId1"/>
  <headerFooter scaleWithDoc="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59e7fa-727a-4443-ad0a-a18d2c93b325" xsi:nil="true"/>
    <lcf76f155ced4ddcb4097134ff3c332f xmlns="169de49f-d907-4d28-97ca-b55e4d08605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54FC5DC3C1B14FA88F49986905A78A" ma:contentTypeVersion="12" ma:contentTypeDescription="Create a new document." ma:contentTypeScope="" ma:versionID="541f5df89e2ebf4ba5f962d5b71a20ec">
  <xsd:schema xmlns:xsd="http://www.w3.org/2001/XMLSchema" xmlns:xs="http://www.w3.org/2001/XMLSchema" xmlns:p="http://schemas.microsoft.com/office/2006/metadata/properties" xmlns:ns2="169de49f-d907-4d28-97ca-b55e4d086050" xmlns:ns3="9059e7fa-727a-4443-ad0a-a18d2c93b325" targetNamespace="http://schemas.microsoft.com/office/2006/metadata/properties" ma:root="true" ma:fieldsID="02864fa041805aa08de9b4ac2a6566db" ns2:_="" ns3:_="">
    <xsd:import namespace="169de49f-d907-4d28-97ca-b55e4d086050"/>
    <xsd:import namespace="9059e7fa-727a-4443-ad0a-a18d2c93b3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e49f-d907-4d28-97ca-b55e4d086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883d318-f35c-4577-94aa-4c8e836d27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59e7fa-727a-4443-ad0a-a18d2c93b3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b56625-45de-4a18-b0ed-e9a3a4cf2510}" ma:internalName="TaxCatchAll" ma:showField="CatchAllData" ma:web="9059e7fa-727a-4443-ad0a-a18d2c93b3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datasnipper xmlns="http://datasnipper" workbookId="5de2e25c-845c-4067-83df-b2025ca09819" dataSnipperSheetDeleted="false" guid="08032f09-2add-476e-ae5b-649318db0334" revision="2">
  <settings xmlns="" guid="5d3f458e-adfe-49cf-90e6-4673a0d5b069">
    <setting type="boolean" value="True" name="embed-documents" guid="26031147-638f-41fb-b1d8-68a0d213ad30"/>
  </settings>
</datasnipper>
</file>

<file path=customXml/itemProps1.xml><?xml version="1.0" encoding="utf-8"?>
<ds:datastoreItem xmlns:ds="http://schemas.openxmlformats.org/officeDocument/2006/customXml" ds:itemID="{A27E3327-9BB0-4BB1-9494-1D1BC8161B01}">
  <ds:schemaRefs>
    <ds:schemaRef ds:uri="http://purl.org/dc/dcmitype/"/>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9059e7fa-727a-4443-ad0a-a18d2c93b325"/>
    <ds:schemaRef ds:uri="169de49f-d907-4d28-97ca-b55e4d086050"/>
    <ds:schemaRef ds:uri="http://purl.org/dc/elements/1.1/"/>
  </ds:schemaRefs>
</ds:datastoreItem>
</file>

<file path=customXml/itemProps2.xml><?xml version="1.0" encoding="utf-8"?>
<ds:datastoreItem xmlns:ds="http://schemas.openxmlformats.org/officeDocument/2006/customXml" ds:itemID="{7E135DD1-5410-42E4-BFC3-5ED882D66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e49f-d907-4d28-97ca-b55e4d086050"/>
    <ds:schemaRef ds:uri="9059e7fa-727a-4443-ad0a-a18d2c93b3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ED1FCF-B10E-490B-88A7-F956958DE75C}">
  <ds:schemaRefs>
    <ds:schemaRef ds:uri="http://schemas.microsoft.com/sharepoint/v3/contenttype/forms"/>
  </ds:schemaRefs>
</ds:datastoreItem>
</file>

<file path=customXml/itemProps4.xml><?xml version="1.0" encoding="utf-8"?>
<ds:datastoreItem xmlns:ds="http://schemas.openxmlformats.org/officeDocument/2006/customXml" ds:itemID="{844DF4FD-0353-443D-AD79-460764A19A59}">
  <ds:schemaRefs>
    <ds:schemaRef ds:uri="http://datasnipper"/>
    <ds:schemaRef ds:uri=""/>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Sheet1</vt:lpstr>
      <vt:lpstr>Home</vt:lpstr>
      <vt:lpstr>Data Contents</vt:lpstr>
      <vt:lpstr>Economic Contributions</vt:lpstr>
      <vt:lpstr>Compliance &amp; Ethics</vt:lpstr>
      <vt:lpstr>Emissions</vt:lpstr>
      <vt:lpstr>Health</vt:lpstr>
      <vt:lpstr>Safety</vt:lpstr>
      <vt:lpstr>People</vt:lpstr>
      <vt:lpstr>Energy</vt:lpstr>
      <vt:lpstr>Water</vt:lpstr>
      <vt:lpstr>Tailings</vt:lpstr>
      <vt:lpstr>Biodiversity &amp; Environment</vt:lpstr>
      <vt:lpstr>Waste</vt:lpstr>
      <vt:lpstr>Closure</vt:lpstr>
      <vt:lpstr>TCFD</vt:lpstr>
      <vt:lpstr>SASB</vt:lpstr>
      <vt:lpstr>'Economic Contributions'!Print_Area</vt:lpstr>
      <vt:lpstr>Energy!Print_Area</vt:lpstr>
      <vt:lpstr>Health!Print_Area</vt:lpstr>
      <vt:lpstr>Home!Print_Area</vt:lpstr>
      <vt:lpstr>Safety!Print_Area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Kerkvliet, Tanya</dc:creator>
  <cp:keywords/>
  <dc:description/>
  <cp:lastModifiedBy>Flynn, Hannah</cp:lastModifiedBy>
  <cp:revision/>
  <dcterms:created xsi:type="dcterms:W3CDTF">2021-03-04T09:21:46Z</dcterms:created>
  <dcterms:modified xsi:type="dcterms:W3CDTF">2025-10-23T06:24:17Z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0x0101001954FC5DC3C1B14FA88F49986905A78A</vt:lpwstr>
  </property>
  <property fmtid="{D5CDD505-2E9C-101B-9397-08002B2CF9AE}" pid="3" name="MediaServiceImageTags">
    <vt:lpwstr/>
  </property>
</Properties>
</file>